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 Summary" sheetId="1" r:id="rId1"/>
    <sheet name="2019 Detail" sheetId="2" r:id="rId2"/>
    <sheet name=" 2018 Summary" sheetId="3" r:id="rId3"/>
  </sheets>
  <definedNames>
    <definedName name="_xlnm.Print_Area" localSheetId="1">'2019 Detail'!$A$1:$CD$106</definedName>
    <definedName name="_xlnm.Print_Area" localSheetId="0">'2019 Summary'!$A$1:$O$33</definedName>
  </definedNames>
  <calcPr fullCalcOnLoad="1"/>
</workbook>
</file>

<file path=xl/sharedStrings.xml><?xml version="1.0" encoding="utf-8"?>
<sst xmlns="http://schemas.openxmlformats.org/spreadsheetml/2006/main" count="570" uniqueCount="314">
  <si>
    <t>Cap:</t>
  </si>
  <si>
    <t xml:space="preserve">Use of stipends fund to limit increase to inflation </t>
  </si>
  <si>
    <t>2015-17</t>
  </si>
  <si>
    <t>Clergy Cost</t>
  </si>
  <si>
    <t>Parish Share Allocation</t>
  </si>
  <si>
    <t>Variances</t>
  </si>
  <si>
    <t>Benefice</t>
  </si>
  <si>
    <t>Deanery</t>
  </si>
  <si>
    <t>Stipendiaries</t>
  </si>
  <si>
    <t>Stipendiary Curates</t>
  </si>
  <si>
    <t>HfD</t>
  </si>
  <si>
    <t>SSM Curates</t>
  </si>
  <si>
    <t>SSM</t>
  </si>
  <si>
    <t>Parishes</t>
  </si>
  <si>
    <t>Schools</t>
  </si>
  <si>
    <t>Churches</t>
  </si>
  <si>
    <t>Benefice Code</t>
  </si>
  <si>
    <t>Shared Service Ratio</t>
  </si>
  <si>
    <t>Shared Service %age</t>
  </si>
  <si>
    <t>Diocesan Cost</t>
  </si>
  <si>
    <t>National Cost</t>
  </si>
  <si>
    <t>Stipend NIC &amp; Pension</t>
  </si>
  <si>
    <t>Housing</t>
  </si>
  <si>
    <t>Vacancy Savings</t>
  </si>
  <si>
    <t>Training</t>
  </si>
  <si>
    <t>Curate Adjustment</t>
  </si>
  <si>
    <t>Curate Share</t>
  </si>
  <si>
    <t>Half Cost</t>
  </si>
  <si>
    <t>Half USA</t>
  </si>
  <si>
    <t>2019 Base Allocation</t>
  </si>
  <si>
    <t>Parish Share 2014-16 (per model)</t>
  </si>
  <si>
    <t>PS allocation 2018</t>
  </si>
  <si>
    <t>Parish Share 2016-18 av. Allocation</t>
  </si>
  <si>
    <t>2016 (Actual benefice allocation)</t>
  </si>
  <si>
    <t>2018 before DSF</t>
  </si>
  <si>
    <t>2019 before DSF</t>
  </si>
  <si>
    <t>Pop'n (2012)</t>
  </si>
  <si>
    <t>2010 IMD</t>
  </si>
  <si>
    <t>DSF Ratio</t>
  </si>
  <si>
    <t>DSF %age</t>
  </si>
  <si>
    <t>USA 2013</t>
  </si>
  <si>
    <t>USA var</t>
  </si>
  <si>
    <t>Parish Share 2014</t>
  </si>
  <si>
    <t>Parish Share increase/ (decrease)</t>
  </si>
  <si>
    <t>PSIA</t>
  </si>
  <si>
    <t>USA</t>
  </si>
  <si>
    <t>% increase before DSF</t>
  </si>
  <si>
    <t>#</t>
  </si>
  <si>
    <t>capped at 500</t>
  </si>
  <si>
    <t>NB</t>
  </si>
  <si>
    <t>% change</t>
  </si>
  <si>
    <t>Charlton Kings, Holy Apostles</t>
  </si>
  <si>
    <t>Cheltenham</t>
  </si>
  <si>
    <t>16/042 P</t>
  </si>
  <si>
    <t>u</t>
  </si>
  <si>
    <t>Charlton Kings, St Mary</t>
  </si>
  <si>
    <t>16/043 K</t>
  </si>
  <si>
    <t>Cheltenham Holy Trinity and St Paul</t>
  </si>
  <si>
    <t>16/047BK</t>
  </si>
  <si>
    <t>Cheltenham Network Church</t>
  </si>
  <si>
    <t>Cheltenham St Michael</t>
  </si>
  <si>
    <t>16/052CK</t>
  </si>
  <si>
    <t>c</t>
  </si>
  <si>
    <t>Cheltenham, Christ Church</t>
  </si>
  <si>
    <t>16/045 T</t>
  </si>
  <si>
    <t>Cheltenham, St Mary with St Matthew and St Luke</t>
  </si>
  <si>
    <t>16/052DM</t>
  </si>
  <si>
    <t>North Cheltenham Team Ministry</t>
  </si>
  <si>
    <t>16/168CF</t>
  </si>
  <si>
    <t>South Cheltenham Churches</t>
  </si>
  <si>
    <t>16/207CM</t>
  </si>
  <si>
    <t>Up Hatherley</t>
  </si>
  <si>
    <t>16/238 K</t>
  </si>
  <si>
    <t>West Cheltenham Team Ministry</t>
  </si>
  <si>
    <t>16/051 K</t>
  </si>
  <si>
    <t>Avening with Cherington</t>
  </si>
  <si>
    <t>Cirencester</t>
  </si>
  <si>
    <t>16/221BWb</t>
  </si>
  <si>
    <t>Brimpsfield with Birdlip, Syde, Daglingworth, The Duntisbournes, Winstone, Miserden and Edgeworth</t>
  </si>
  <si>
    <t>16/031DW</t>
  </si>
  <si>
    <t>Cirencester with Watermoor</t>
  </si>
  <si>
    <t>16/064 X</t>
  </si>
  <si>
    <t>Kemble, Poole Keynes, Somerford Keynes with Shorncote, Coates, Rodmarton and Sapperton with Frampton Mansell</t>
  </si>
  <si>
    <t>16/136CJ</t>
  </si>
  <si>
    <t>South Cerney with Cerney Wick, Siddington and Preston</t>
  </si>
  <si>
    <t>16/207BK</t>
  </si>
  <si>
    <t>South Cotswolds Team Ministry</t>
  </si>
  <si>
    <t>16/098CM</t>
  </si>
  <si>
    <t>Tetbury, Beverston, Long Newnton and Shipton Moyne</t>
  </si>
  <si>
    <t>16/221BWa</t>
  </si>
  <si>
    <t>The Churn Valley Benefice</t>
  </si>
  <si>
    <t>16/215BK</t>
  </si>
  <si>
    <t>Bream</t>
  </si>
  <si>
    <t>Forest South</t>
  </si>
  <si>
    <t>16/030 R</t>
  </si>
  <si>
    <t>Christ Church Forest of Dean with English Bicknor</t>
  </si>
  <si>
    <t>16/079BH</t>
  </si>
  <si>
    <t>Cinderford with Littledean</t>
  </si>
  <si>
    <t>16/063CM</t>
  </si>
  <si>
    <t>Coleford, Staunton, Newland, Redbrook and Clearwell</t>
  </si>
  <si>
    <t>16/070BP</t>
  </si>
  <si>
    <t>Drybrook, Lydbrook and Ruardean</t>
  </si>
  <si>
    <t>16/086CP</t>
  </si>
  <si>
    <t>Lydney</t>
  </si>
  <si>
    <t>16/152 X</t>
  </si>
  <si>
    <t>Newnham with Awre and Blakeney</t>
  </si>
  <si>
    <t>16/167BH</t>
  </si>
  <si>
    <t>Parkend and Viney Hill</t>
  </si>
  <si>
    <t>16/177DX</t>
  </si>
  <si>
    <t>St Briavels with Hewelsfield</t>
  </si>
  <si>
    <t>16/193 M</t>
  </si>
  <si>
    <t>Tidenham with Beachley and Lancaut</t>
  </si>
  <si>
    <t>16/227 H</t>
  </si>
  <si>
    <t>Woolaston with Alvington and Aylburton</t>
  </si>
  <si>
    <t>16/256BW</t>
  </si>
  <si>
    <t>Barnwood</t>
  </si>
  <si>
    <t>Gloucester City</t>
  </si>
  <si>
    <t>16/017 W</t>
  </si>
  <si>
    <t>Gloucester City and Hempsted</t>
  </si>
  <si>
    <t>16/111CR</t>
  </si>
  <si>
    <t>Gloucester, Saint James and All Saints and Christ Church</t>
  </si>
  <si>
    <t>16/109CF</t>
  </si>
  <si>
    <t>Gloucester, St Barnabas</t>
  </si>
  <si>
    <t>16/232 X</t>
  </si>
  <si>
    <t>Gloucester, St Catharine</t>
  </si>
  <si>
    <t>16/108 F</t>
  </si>
  <si>
    <t>Gloucester, St George with Whaddon</t>
  </si>
  <si>
    <t>16/108BH</t>
  </si>
  <si>
    <t>Gloucester, St Paul and St Stephen</t>
  </si>
  <si>
    <t>16/258 J</t>
  </si>
  <si>
    <t>Hardwicke and Elmore with Longney</t>
  </si>
  <si>
    <t>16/120DP</t>
  </si>
  <si>
    <t>Hucclecote</t>
  </si>
  <si>
    <t>16/133 T</t>
  </si>
  <si>
    <t>Longlevens</t>
  </si>
  <si>
    <t>16/114BR</t>
  </si>
  <si>
    <t>Matson</t>
  </si>
  <si>
    <t>16/155 H</t>
  </si>
  <si>
    <t>Quedgeley</t>
  </si>
  <si>
    <t>16/184BW</t>
  </si>
  <si>
    <t>St Oswald Coney Hill with St Aldate</t>
  </si>
  <si>
    <t>16/074 L</t>
  </si>
  <si>
    <t>Upton St Leonards</t>
  </si>
  <si>
    <t>16/241 R</t>
  </si>
  <si>
    <t>Bourton-on-the-Water with Clapton and The Rissingtons</t>
  </si>
  <si>
    <t>North Cotswolds</t>
  </si>
  <si>
    <t>16/028BH</t>
  </si>
  <si>
    <t>Broadwell, Evenlode, Oddington, Adlestrop and Westcote with Icomb and Bledington</t>
  </si>
  <si>
    <t>16/032DP</t>
  </si>
  <si>
    <t>Chedworth, Yanworth and Stowell, Coln Rogers and Coln St Denys</t>
  </si>
  <si>
    <t>16/044BH</t>
  </si>
  <si>
    <t>Moreton-in-Marsh with Batsford, Todenham, Lower Lemington and Longborough with Sezincote</t>
  </si>
  <si>
    <t>16/161CX</t>
  </si>
  <si>
    <t>Northleach with Hampnett and Farmington, Cold Aston with Notgrove and Turkdean and Compton Abdale with Haselton</t>
  </si>
  <si>
    <t>16/170CR</t>
  </si>
  <si>
    <t>Quinton and Welford with Weston and Marston Sicca</t>
  </si>
  <si>
    <t>16/185BP</t>
  </si>
  <si>
    <t>Sevenhampton with Charlton Abbots, Hawling and Whittington, Dowdeswell and Andoversford with The Shiptons and Cold Salperton and Withington</t>
  </si>
  <si>
    <t>16/198BJ</t>
  </si>
  <si>
    <t>Sherborne, Windrush, Great Barrington with Little Barrington and Aldsworth</t>
  </si>
  <si>
    <t>16/200CL</t>
  </si>
  <si>
    <t>Stow-on-the-Wold, Condicote and The Swells</t>
  </si>
  <si>
    <t>16/214BP</t>
  </si>
  <si>
    <t>The Guitings, Cutsdean, Farmcote, Upper Slaughter and Lower Slaughter with Eyford and Naunton</t>
  </si>
  <si>
    <t>16/119DR</t>
  </si>
  <si>
    <t>Vale and Cotswold Edge</t>
  </si>
  <si>
    <t>16/058BM</t>
  </si>
  <si>
    <t>Severn Vale</t>
  </si>
  <si>
    <t>16/001 F</t>
  </si>
  <si>
    <t>16/009BX</t>
  </si>
  <si>
    <t>16/014BT</t>
  </si>
  <si>
    <t>Brockworth</t>
  </si>
  <si>
    <t>16/033 W</t>
  </si>
  <si>
    <t>16/062 M</t>
  </si>
  <si>
    <t>16/129BT</t>
  </si>
  <si>
    <t>16/134CT</t>
  </si>
  <si>
    <t>16/164BX</t>
  </si>
  <si>
    <t>16/187DL</t>
  </si>
  <si>
    <t>16/062BP</t>
  </si>
  <si>
    <t>16/234CR</t>
  </si>
  <si>
    <t>16/244CH</t>
  </si>
  <si>
    <t>Bisley, Chalford, France Lynch and Oakridge, Bussage</t>
  </si>
  <si>
    <t>Stroud</t>
  </si>
  <si>
    <t>16/023DW</t>
  </si>
  <si>
    <t>Stroudwater Team</t>
  </si>
  <si>
    <t>16/090BM</t>
  </si>
  <si>
    <t>Minchinhampton with Box and Amberley</t>
  </si>
  <si>
    <t>16/158BL</t>
  </si>
  <si>
    <t>Nailsworth with Shortwood, Horsley and Newington Bagpath with Kingscote</t>
  </si>
  <si>
    <t>16/162BM</t>
  </si>
  <si>
    <t>Painswick, Sheepscombe, Cranham, The Edge, Pitchcombe, Harescombe and Brookthorpe</t>
  </si>
  <si>
    <t>16/177AL</t>
  </si>
  <si>
    <t>The Stroud Team Ministry</t>
  </si>
  <si>
    <t>16/217CX</t>
  </si>
  <si>
    <t>Woodchester, Brimscombe and Rodborough</t>
  </si>
  <si>
    <t>16/254BL</t>
  </si>
  <si>
    <t>Ashchurch and Kemerton</t>
  </si>
  <si>
    <t>Tewkesbury and Winchcombe</t>
  </si>
  <si>
    <t>16/008BJ</t>
  </si>
  <si>
    <t>Bishop's Cleeve and Woolstone with Gotherington and Oxenton Team Ministry</t>
  </si>
  <si>
    <t>16/022BT</t>
  </si>
  <si>
    <t>Deerhurst and Apperley with Forthampton and Chaceley, Tredington, Stoke Orchard and Hardwicke</t>
  </si>
  <si>
    <t>16/082CR</t>
  </si>
  <si>
    <t>Tewkesbury with Walton Cardiff</t>
  </si>
  <si>
    <t>16/223BKa</t>
  </si>
  <si>
    <t>Tewkesbury, Holy Trinity</t>
  </si>
  <si>
    <t>16/222 M</t>
  </si>
  <si>
    <t>Winchcombe with Gretton, Sudeley Manor &amp; Stanley Pont</t>
  </si>
  <si>
    <t>Wormington, Alderton, Gt Washbourne &amp; Dumbleton</t>
  </si>
  <si>
    <t>Buckland, Stanway,Stanton &amp; Snowshill, Toddington, Didbrook &amp; Hailes</t>
  </si>
  <si>
    <t>Aston Somerville</t>
  </si>
  <si>
    <t>No 2018 allocation</t>
  </si>
  <si>
    <t>Childswyckham</t>
  </si>
  <si>
    <t>Twyning</t>
  </si>
  <si>
    <t>16/223BKb</t>
  </si>
  <si>
    <t>Berkeley with Wick, Breadstone, Newport, Stone, Woodford and Hill</t>
  </si>
  <si>
    <t>Wotton</t>
  </si>
  <si>
    <t>16/020BK</t>
  </si>
  <si>
    <t>Boxwell, Leighterton, Didmarton, Oldbury-on-the-Hill, Sopworth, Badminton with Little Badminton, Acton Turville, Hawkesbury, Westonbirt and Lasborough</t>
  </si>
  <si>
    <t>16/029CF</t>
  </si>
  <si>
    <t>Cam with Stinchcombe</t>
  </si>
  <si>
    <t>16/039BK</t>
  </si>
  <si>
    <t>Charfield and Kingswood, Wickwar, Rangeworthy and Hillesley</t>
  </si>
  <si>
    <t>16/041BX</t>
  </si>
  <si>
    <t>Cromhall, Tortworth, Tytherington, Falfield and Rockhampton</t>
  </si>
  <si>
    <t>16/077DF</t>
  </si>
  <si>
    <t>Dursley w Uley &amp; Owlpen &amp; Nympsfield</t>
  </si>
  <si>
    <t>16/088 T</t>
  </si>
  <si>
    <t>Lower Cam with Coaley</t>
  </si>
  <si>
    <t>16/150BP</t>
  </si>
  <si>
    <t>Sharpness, Purton, Brookend and Slimbridge</t>
  </si>
  <si>
    <t>16/198DP</t>
  </si>
  <si>
    <t>The Sodbury Vale Benefice</t>
  </si>
  <si>
    <t>16/205BW</t>
  </si>
  <si>
    <t>Thornbury and Oldbury-on-Severn with Shepperdine</t>
  </si>
  <si>
    <t>16/225BT</t>
  </si>
  <si>
    <t>Wotton-under-Edge with Ozleworth, North Nibley and Alderley</t>
  </si>
  <si>
    <t>16/259DL</t>
  </si>
  <si>
    <t>Parish Share:</t>
  </si>
  <si>
    <t>Allocated DSF:</t>
  </si>
  <si>
    <t>Unallocated DSF:</t>
  </si>
  <si>
    <t>x</t>
  </si>
  <si>
    <t>Diocesan Totals:</t>
  </si>
  <si>
    <t>Budget Parish Share</t>
  </si>
  <si>
    <t xml:space="preserve">Inflation rates </t>
  </si>
  <si>
    <t>Deanery Summary</t>
  </si>
  <si>
    <t>average</t>
  </si>
  <si>
    <t>Unallocated DSF</t>
  </si>
  <si>
    <t>Archdeaconry Summary</t>
  </si>
  <si>
    <t>Gloucester</t>
  </si>
  <si>
    <t>Benefice Average</t>
  </si>
  <si>
    <t>Grants and
on-costs</t>
  </si>
  <si>
    <t>Infl:</t>
  </si>
  <si>
    <t>USA
3yr Av</t>
  </si>
  <si>
    <t>Base Allocation</t>
  </si>
  <si>
    <t>Weighting:</t>
  </si>
  <si>
    <t>Deanery Total</t>
  </si>
  <si>
    <t>2019 Deanery DSF allocation</t>
  </si>
  <si>
    <t>Deanery Fund</t>
  </si>
  <si>
    <t>2019 PS Allocation</t>
  </si>
  <si>
    <t>2018 Allocation (Diocesan Records)</t>
  </si>
  <si>
    <t>% Increase From
2018</t>
  </si>
  <si>
    <t>2019 Deanery DSF %  Share</t>
  </si>
  <si>
    <t>2018 PS Actual Allocation</t>
  </si>
  <si>
    <t>2019
Parish Share
 Allocation</t>
  </si>
  <si>
    <t xml:space="preserve">2018 Deanery DSF
% </t>
  </si>
  <si>
    <t>2018 Deanery DSF
£</t>
  </si>
  <si>
    <t>2019 Parish Share
Initial Allocation</t>
  </si>
  <si>
    <t>Name of Benefice:</t>
  </si>
  <si>
    <t>Leadon Vale</t>
  </si>
  <si>
    <t>Name of Benefice</t>
  </si>
  <si>
    <t>Priest</t>
  </si>
  <si>
    <t>Curate</t>
  </si>
  <si>
    <t>SSM 
Curate</t>
  </si>
  <si>
    <t>Abenhall with Mitchledean</t>
  </si>
  <si>
    <t>No/Type of Priests</t>
  </si>
  <si>
    <t>Stipendiary</t>
  </si>
  <si>
    <t>SSM Curate</t>
  </si>
  <si>
    <t>West of Severn</t>
  </si>
  <si>
    <t>Greenway</t>
  </si>
  <si>
    <t>Quantity</t>
  </si>
  <si>
    <t>Churchdown St Andrews</t>
  </si>
  <si>
    <t>Highnam Group</t>
  </si>
  <si>
    <t>Annual Inflation %</t>
  </si>
  <si>
    <t>Forest Edge</t>
  </si>
  <si>
    <t>Newent Group</t>
  </si>
  <si>
    <t xml:space="preserve">£    </t>
  </si>
  <si>
    <t>Change</t>
  </si>
  <si>
    <t>Diocesan Costs</t>
  </si>
  <si>
    <t>Churchdown &amp; Insworth</t>
  </si>
  <si>
    <t>National Costs</t>
  </si>
  <si>
    <t>Severn Towers</t>
  </si>
  <si>
    <t>Stipends</t>
  </si>
  <si>
    <t>Westbury Group</t>
  </si>
  <si>
    <t>Grants/On costs</t>
  </si>
  <si>
    <t>Vacancy Saving</t>
  </si>
  <si>
    <t>Average Payment
2014-2016</t>
  </si>
  <si>
    <t>Curates Share</t>
  </si>
  <si>
    <t>Curates Adjustment</t>
  </si>
  <si>
    <t>Mediated Half Cost</t>
  </si>
  <si>
    <t>Common Mediation*</t>
  </si>
  <si>
    <t>Initial Parish Share</t>
  </si>
  <si>
    <t>Deanery Allocated Mediation*</t>
  </si>
  <si>
    <t>Mutual Support</t>
  </si>
  <si>
    <t>Average Attendance
2015-2017</t>
  </si>
  <si>
    <t>2019
Less Bias to Poor</t>
  </si>
  <si>
    <t>Deanery Allocated Mediation</t>
  </si>
  <si>
    <t>Common Mediation</t>
  </si>
  <si>
    <t>Parish Share 2018</t>
  </si>
  <si>
    <t>Full Cost</t>
  </si>
  <si>
    <t>Benefice Total</t>
  </si>
  <si>
    <t>Diocesan Mediation*</t>
  </si>
  <si>
    <t>Sub-Total</t>
  </si>
  <si>
    <t>Benefice Calculator 2019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</si>
</sst>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%;\(0.0%\);\-"/>
    <numFmt numFmtId="168" formatCode="_-* #,##0_-;* \(#,##0\)_-;_-* &quot;-&quot;_-;_-@_-"/>
    <numFmt numFmtId="169" formatCode="_-* #,##0.0000_-;\-* #,##0.0000_-;_-* &quot;-&quot;??_-;_-@_-"/>
    <numFmt numFmtId="170" formatCode="0.0000000%"/>
    <numFmt numFmtId="171" formatCode="#,##0;\(#,##0\)"/>
    <numFmt numFmtId="172" formatCode="_-* #,##0_-;\-* #,##0_-;_-* &quot;-&quot;??_-;_-@_-"/>
    <numFmt numFmtId="173" formatCode="#,##0.0%;[Red]\-#,##0.0%"/>
    <numFmt numFmtId="174" formatCode="\+#,##0.0%;[Red]\-#,##0.0%"/>
    <numFmt numFmtId="175" formatCode="#,##0%;[Red]#,##0%"/>
    <numFmt numFmtId="176" formatCode="#,##0%;[Red]\-#,##0%"/>
    <numFmt numFmtId="177" formatCode="#,##0.00;\(#,##0.00\)"/>
    <numFmt numFmtId="178" formatCode="#,##0.0;\(#,##0.0\)"/>
    <numFmt numFmtId="179" formatCode="#,##0.00;\(#,##0.00\)%"/>
    <numFmt numFmtId="180" formatCode="#,##0\ ;\(#,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Gill Sans MT"/>
      <family val="2"/>
    </font>
    <font>
      <b/>
      <sz val="12"/>
      <color indexed="8"/>
      <name val="Gill Sans M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Gill Sans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9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169" fontId="42" fillId="0" borderId="0" xfId="0" applyNumberFormat="1" applyFont="1" applyAlignment="1">
      <alignment/>
    </xf>
    <xf numFmtId="17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165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6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 wrapText="1"/>
    </xf>
    <xf numFmtId="166" fontId="42" fillId="0" borderId="0" xfId="0" applyNumberFormat="1" applyFont="1" applyAlignment="1">
      <alignment horizontal="center" wrapText="1"/>
    </xf>
    <xf numFmtId="168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right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5" fontId="43" fillId="33" borderId="12" xfId="0" applyNumberFormat="1" applyFont="1" applyFill="1" applyBorder="1" applyAlignment="1">
      <alignment horizontal="center" vertical="center"/>
    </xf>
    <xf numFmtId="1" fontId="43" fillId="33" borderId="12" xfId="0" applyNumberFormat="1" applyFont="1" applyFill="1" applyBorder="1" applyAlignment="1">
      <alignment horizontal="center" vertical="center" wrapText="1"/>
    </xf>
    <xf numFmtId="1" fontId="43" fillId="33" borderId="12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2" fontId="43" fillId="33" borderId="12" xfId="0" applyNumberFormat="1" applyFont="1" applyFill="1" applyBorder="1" applyAlignment="1">
      <alignment horizontal="center"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2" fillId="33" borderId="12" xfId="0" applyFont="1" applyFill="1" applyBorder="1" applyAlignment="1">
      <alignment/>
    </xf>
    <xf numFmtId="9" fontId="42" fillId="0" borderId="0" xfId="0" applyNumberFormat="1" applyFont="1" applyAlignment="1">
      <alignment horizontal="center"/>
    </xf>
    <xf numFmtId="1" fontId="42" fillId="35" borderId="0" xfId="0" applyNumberFormat="1" applyFont="1" applyFill="1" applyAlignment="1">
      <alignment horizontal="center"/>
    </xf>
    <xf numFmtId="166" fontId="42" fillId="35" borderId="0" xfId="0" applyNumberFormat="1" applyFont="1" applyFill="1" applyAlignment="1">
      <alignment horizontal="center"/>
    </xf>
    <xf numFmtId="1" fontId="42" fillId="35" borderId="0" xfId="0" applyNumberFormat="1" applyFont="1" applyFill="1" applyAlignment="1">
      <alignment horizontal="center" wrapText="1"/>
    </xf>
    <xf numFmtId="2" fontId="42" fillId="35" borderId="0" xfId="0" applyNumberFormat="1" applyFont="1" applyFill="1" applyAlignment="1">
      <alignment horizontal="center"/>
    </xf>
    <xf numFmtId="1" fontId="42" fillId="35" borderId="0" xfId="0" applyNumberFormat="1" applyFont="1" applyFill="1" applyAlignment="1">
      <alignment/>
    </xf>
    <xf numFmtId="168" fontId="42" fillId="36" borderId="0" xfId="0" applyNumberFormat="1" applyFont="1" applyFill="1" applyAlignment="1">
      <alignment/>
    </xf>
    <xf numFmtId="2" fontId="42" fillId="36" borderId="0" xfId="0" applyNumberFormat="1" applyFont="1" applyFill="1" applyAlignment="1">
      <alignment/>
    </xf>
    <xf numFmtId="164" fontId="42" fillId="36" borderId="0" xfId="0" applyNumberFormat="1" applyFont="1" applyFill="1" applyAlignment="1">
      <alignment/>
    </xf>
    <xf numFmtId="168" fontId="42" fillId="36" borderId="10" xfId="0" applyNumberFormat="1" applyFont="1" applyFill="1" applyBorder="1" applyAlignment="1">
      <alignment/>
    </xf>
    <xf numFmtId="168" fontId="42" fillId="36" borderId="15" xfId="0" applyNumberFormat="1" applyFont="1" applyFill="1" applyBorder="1" applyAlignment="1">
      <alignment/>
    </xf>
    <xf numFmtId="0" fontId="42" fillId="36" borderId="0" xfId="0" applyFont="1" applyFill="1" applyAlignment="1">
      <alignment/>
    </xf>
    <xf numFmtId="3" fontId="42" fillId="36" borderId="0" xfId="0" applyNumberFormat="1" applyFont="1" applyFill="1" applyAlignment="1">
      <alignment/>
    </xf>
    <xf numFmtId="4" fontId="42" fillId="36" borderId="0" xfId="0" applyNumberFormat="1" applyFont="1" applyFill="1" applyAlignment="1">
      <alignment/>
    </xf>
    <xf numFmtId="10" fontId="42" fillId="36" borderId="0" xfId="0" applyNumberFormat="1" applyFont="1" applyFill="1" applyAlignment="1">
      <alignment/>
    </xf>
    <xf numFmtId="1" fontId="42" fillId="36" borderId="0" xfId="0" applyNumberFormat="1" applyFont="1" applyFill="1" applyAlignment="1">
      <alignment/>
    </xf>
    <xf numFmtId="9" fontId="42" fillId="36" borderId="0" xfId="0" applyNumberFormat="1" applyFont="1" applyFill="1" applyAlignment="1">
      <alignment horizontal="center"/>
    </xf>
    <xf numFmtId="167" fontId="42" fillId="36" borderId="0" xfId="0" applyNumberFormat="1" applyFont="1" applyFill="1" applyAlignment="1">
      <alignment/>
    </xf>
    <xf numFmtId="166" fontId="42" fillId="36" borderId="0" xfId="0" applyNumberFormat="1" applyFont="1" applyFill="1" applyAlignment="1">
      <alignment horizontal="center"/>
    </xf>
    <xf numFmtId="166" fontId="42" fillId="36" borderId="0" xfId="0" applyNumberFormat="1" applyFont="1" applyFill="1" applyAlignment="1">
      <alignment horizontal="center" wrapText="1"/>
    </xf>
    <xf numFmtId="9" fontId="42" fillId="37" borderId="0" xfId="0" applyNumberFormat="1" applyFont="1" applyFill="1" applyAlignment="1">
      <alignment horizontal="center" wrapText="1"/>
    </xf>
    <xf numFmtId="168" fontId="42" fillId="33" borderId="16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5" fontId="42" fillId="33" borderId="16" xfId="0" applyNumberFormat="1" applyFont="1" applyFill="1" applyBorder="1" applyAlignment="1">
      <alignment/>
    </xf>
    <xf numFmtId="1" fontId="42" fillId="33" borderId="16" xfId="0" applyNumberFormat="1" applyFont="1" applyFill="1" applyBorder="1" applyAlignment="1">
      <alignment/>
    </xf>
    <xf numFmtId="2" fontId="42" fillId="33" borderId="16" xfId="0" applyNumberFormat="1" applyFont="1" applyFill="1" applyBorder="1" applyAlignment="1">
      <alignment/>
    </xf>
    <xf numFmtId="3" fontId="42" fillId="33" borderId="16" xfId="0" applyNumberFormat="1" applyFont="1" applyFill="1" applyBorder="1" applyAlignment="1">
      <alignment/>
    </xf>
    <xf numFmtId="165" fontId="42" fillId="33" borderId="16" xfId="0" applyNumberFormat="1" applyFont="1" applyFill="1" applyBorder="1" applyAlignment="1">
      <alignment horizontal="center"/>
    </xf>
    <xf numFmtId="1" fontId="42" fillId="33" borderId="16" xfId="0" applyNumberFormat="1" applyFont="1" applyFill="1" applyBorder="1" applyAlignment="1">
      <alignment horizontal="center" wrapText="1"/>
    </xf>
    <xf numFmtId="1" fontId="42" fillId="33" borderId="16" xfId="0" applyNumberFormat="1" applyFont="1" applyFill="1" applyBorder="1" applyAlignment="1">
      <alignment horizontal="center"/>
    </xf>
    <xf numFmtId="0" fontId="42" fillId="0" borderId="17" xfId="0" applyFont="1" applyBorder="1" applyAlignment="1">
      <alignment/>
    </xf>
    <xf numFmtId="165" fontId="42" fillId="0" borderId="18" xfId="0" applyNumberFormat="1" applyFont="1" applyBorder="1" applyAlignment="1">
      <alignment horizontal="center"/>
    </xf>
    <xf numFmtId="1" fontId="42" fillId="0" borderId="18" xfId="0" applyNumberFormat="1" applyFont="1" applyBorder="1" applyAlignment="1">
      <alignment horizontal="center" wrapText="1"/>
    </xf>
    <xf numFmtId="1" fontId="42" fillId="0" borderId="18" xfId="0" applyNumberFormat="1" applyFont="1" applyBorder="1" applyAlignment="1">
      <alignment horizontal="center"/>
    </xf>
    <xf numFmtId="0" fontId="42" fillId="0" borderId="18" xfId="0" applyFont="1" applyBorder="1" applyAlignment="1">
      <alignment/>
    </xf>
    <xf numFmtId="1" fontId="42" fillId="0" borderId="18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/>
    </xf>
    <xf numFmtId="165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68" fontId="42" fillId="0" borderId="0" xfId="0" applyNumberFormat="1" applyFont="1" applyBorder="1" applyAlignment="1">
      <alignment horizontal="center"/>
    </xf>
    <xf numFmtId="168" fontId="42" fillId="0" borderId="0" xfId="0" applyNumberFormat="1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164" fontId="42" fillId="0" borderId="23" xfId="0" applyNumberFormat="1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2" fillId="0" borderId="24" xfId="0" applyFont="1" applyBorder="1" applyAlignment="1">
      <alignment/>
    </xf>
    <xf numFmtId="168" fontId="42" fillId="0" borderId="16" xfId="0" applyNumberFormat="1" applyFont="1" applyBorder="1" applyAlignment="1">
      <alignment/>
    </xf>
    <xf numFmtId="168" fontId="42" fillId="0" borderId="25" xfId="0" applyNumberFormat="1" applyFont="1" applyBorder="1" applyAlignment="1">
      <alignment/>
    </xf>
    <xf numFmtId="9" fontId="42" fillId="0" borderId="0" xfId="57" applyFont="1" applyAlignment="1">
      <alignment/>
    </xf>
    <xf numFmtId="168" fontId="42" fillId="38" borderId="0" xfId="0" applyNumberFormat="1" applyFont="1" applyFill="1" applyAlignment="1">
      <alignment/>
    </xf>
    <xf numFmtId="38" fontId="42" fillId="0" borderId="0" xfId="0" applyNumberFormat="1" applyFont="1" applyAlignment="1">
      <alignment/>
    </xf>
    <xf numFmtId="168" fontId="42" fillId="0" borderId="26" xfId="0" applyNumberFormat="1" applyFont="1" applyBorder="1" applyAlignment="1">
      <alignment/>
    </xf>
    <xf numFmtId="38" fontId="42" fillId="0" borderId="19" xfId="0" applyNumberFormat="1" applyFont="1" applyBorder="1" applyAlignment="1">
      <alignment/>
    </xf>
    <xf numFmtId="164" fontId="42" fillId="0" borderId="23" xfId="57" applyNumberFormat="1" applyFont="1" applyBorder="1" applyAlignment="1">
      <alignment/>
    </xf>
    <xf numFmtId="164" fontId="42" fillId="0" borderId="27" xfId="57" applyNumberFormat="1" applyFont="1" applyBorder="1" applyAlignment="1">
      <alignment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9" fontId="42" fillId="0" borderId="16" xfId="0" applyNumberFormat="1" applyFont="1" applyBorder="1" applyAlignment="1">
      <alignment/>
    </xf>
    <xf numFmtId="9" fontId="42" fillId="0" borderId="0" xfId="57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39" borderId="12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5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Alignment="1" quotePrefix="1">
      <alignment horizontal="right"/>
    </xf>
    <xf numFmtId="171" fontId="41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1" fontId="41" fillId="0" borderId="30" xfId="0" applyNumberFormat="1" applyFont="1" applyBorder="1" applyAlignment="1">
      <alignment/>
    </xf>
    <xf numFmtId="173" fontId="41" fillId="0" borderId="0" xfId="57" applyNumberFormat="1" applyFont="1" applyAlignment="1">
      <alignment/>
    </xf>
    <xf numFmtId="171" fontId="41" fillId="0" borderId="0" xfId="0" applyNumberFormat="1" applyFont="1" applyBorder="1" applyAlignment="1">
      <alignment/>
    </xf>
    <xf numFmtId="172" fontId="41" fillId="0" borderId="0" xfId="0" applyNumberFormat="1" applyFont="1" applyBorder="1" applyAlignment="1">
      <alignment/>
    </xf>
    <xf numFmtId="174" fontId="41" fillId="0" borderId="0" xfId="57" applyNumberFormat="1" applyFont="1" applyAlignment="1">
      <alignment/>
    </xf>
    <xf numFmtId="175" fontId="41" fillId="0" borderId="0" xfId="0" applyNumberFormat="1" applyFont="1" applyAlignment="1">
      <alignment/>
    </xf>
    <xf numFmtId="171" fontId="45" fillId="0" borderId="31" xfId="0" applyNumberFormat="1" applyFont="1" applyBorder="1" applyAlignment="1">
      <alignment/>
    </xf>
    <xf numFmtId="174" fontId="41" fillId="0" borderId="0" xfId="57" applyNumberFormat="1" applyFont="1" applyAlignment="1">
      <alignment horizontal="center"/>
    </xf>
    <xf numFmtId="176" fontId="41" fillId="0" borderId="0" xfId="0" applyNumberFormat="1" applyFont="1" applyAlignment="1">
      <alignment/>
    </xf>
    <xf numFmtId="4" fontId="42" fillId="35" borderId="0" xfId="0" applyNumberFormat="1" applyFont="1" applyFill="1" applyAlignment="1">
      <alignment horizontal="center"/>
    </xf>
    <xf numFmtId="168" fontId="7" fillId="38" borderId="0" xfId="0" applyNumberFormat="1" applyFont="1" applyFill="1" applyAlignment="1">
      <alignment/>
    </xf>
    <xf numFmtId="171" fontId="7" fillId="0" borderId="0" xfId="0" applyNumberFormat="1" applyFont="1" applyFill="1" applyAlignment="1" applyProtection="1">
      <alignment horizontal="center"/>
      <protection/>
    </xf>
    <xf numFmtId="9" fontId="42" fillId="0" borderId="0" xfId="0" applyNumberFormat="1" applyFont="1" applyBorder="1" applyAlignment="1">
      <alignment/>
    </xf>
    <xf numFmtId="164" fontId="42" fillId="0" borderId="0" xfId="57" applyNumberFormat="1" applyFont="1" applyBorder="1" applyAlignment="1">
      <alignment/>
    </xf>
    <xf numFmtId="0" fontId="43" fillId="0" borderId="0" xfId="0" applyFont="1" applyAlignment="1">
      <alignment wrapText="1"/>
    </xf>
    <xf numFmtId="177" fontId="7" fillId="0" borderId="0" xfId="0" applyNumberFormat="1" applyFont="1" applyFill="1" applyAlignment="1" applyProtection="1">
      <alignment horizontal="center"/>
      <protection/>
    </xf>
    <xf numFmtId="164" fontId="7" fillId="0" borderId="0" xfId="57" applyNumberFormat="1" applyFont="1" applyFill="1" applyAlignment="1" applyProtection="1">
      <alignment horizontal="center"/>
      <protection/>
    </xf>
    <xf numFmtId="10" fontId="7" fillId="0" borderId="0" xfId="57" applyNumberFormat="1" applyFont="1" applyFill="1" applyAlignment="1" applyProtection="1">
      <alignment horizontal="center"/>
      <protection/>
    </xf>
    <xf numFmtId="9" fontId="7" fillId="0" borderId="0" xfId="57" applyNumberFormat="1" applyFont="1" applyFill="1" applyAlignment="1" applyProtection="1">
      <alignment horizontal="center"/>
      <protection/>
    </xf>
    <xf numFmtId="168" fontId="42" fillId="0" borderId="19" xfId="0" applyNumberFormat="1" applyFont="1" applyBorder="1" applyAlignment="1">
      <alignment/>
    </xf>
    <xf numFmtId="168" fontId="42" fillId="0" borderId="21" xfId="0" applyNumberFormat="1" applyFont="1" applyBorder="1" applyAlignment="1">
      <alignment/>
    </xf>
    <xf numFmtId="172" fontId="42" fillId="0" borderId="0" xfId="0" applyNumberFormat="1" applyFont="1" applyAlignment="1">
      <alignment/>
    </xf>
    <xf numFmtId="172" fontId="42" fillId="0" borderId="19" xfId="0" applyNumberFormat="1" applyFont="1" applyBorder="1" applyAlignment="1">
      <alignment/>
    </xf>
    <xf numFmtId="164" fontId="42" fillId="0" borderId="0" xfId="57" applyNumberFormat="1" applyFont="1" applyAlignment="1">
      <alignment/>
    </xf>
    <xf numFmtId="171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71" fontId="42" fillId="0" borderId="30" xfId="0" applyNumberFormat="1" applyFont="1" applyBorder="1" applyAlignment="1">
      <alignment/>
    </xf>
    <xf numFmtId="171" fontId="42" fillId="0" borderId="31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1" fontId="42" fillId="0" borderId="18" xfId="0" applyNumberFormat="1" applyFont="1" applyBorder="1" applyAlignment="1">
      <alignment/>
    </xf>
    <xf numFmtId="171" fontId="42" fillId="0" borderId="30" xfId="0" applyNumberFormat="1" applyFont="1" applyBorder="1" applyAlignment="1" applyProtection="1">
      <alignment/>
      <protection locked="0"/>
    </xf>
    <xf numFmtId="0" fontId="43" fillId="0" borderId="0" xfId="0" applyFont="1" applyAlignment="1">
      <alignment horizontal="center" wrapText="1"/>
    </xf>
    <xf numFmtId="171" fontId="7" fillId="0" borderId="30" xfId="0" applyNumberFormat="1" applyFont="1" applyFill="1" applyBorder="1" applyAlignment="1" applyProtection="1">
      <alignment horizontal="center"/>
      <protection/>
    </xf>
    <xf numFmtId="171" fontId="41" fillId="0" borderId="18" xfId="0" applyNumberFormat="1" applyFont="1" applyBorder="1" applyAlignment="1">
      <alignment/>
    </xf>
    <xf numFmtId="171" fontId="46" fillId="0" borderId="0" xfId="0" applyNumberFormat="1" applyFont="1" applyAlignment="1">
      <alignment horizontal="left"/>
    </xf>
    <xf numFmtId="171" fontId="45" fillId="0" borderId="32" xfId="0" applyNumberFormat="1" applyFont="1" applyBorder="1" applyAlignment="1">
      <alignment/>
    </xf>
    <xf numFmtId="178" fontId="7" fillId="0" borderId="0" xfId="0" applyNumberFormat="1" applyFont="1" applyFill="1" applyAlignment="1" applyProtection="1">
      <alignment horizontal="center"/>
      <protection/>
    </xf>
    <xf numFmtId="168" fontId="42" fillId="0" borderId="0" xfId="0" applyNumberFormat="1" applyFont="1" applyFill="1" applyAlignment="1">
      <alignment/>
    </xf>
    <xf numFmtId="179" fontId="42" fillId="0" borderId="0" xfId="57" applyNumberFormat="1" applyFont="1" applyAlignment="1">
      <alignment/>
    </xf>
    <xf numFmtId="180" fontId="42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72" fontId="42" fillId="0" borderId="30" xfId="0" applyNumberFormat="1" applyFont="1" applyBorder="1" applyAlignment="1" applyProtection="1">
      <alignment/>
      <protection locked="0"/>
    </xf>
    <xf numFmtId="171" fontId="42" fillId="0" borderId="0" xfId="0" applyNumberFormat="1" applyFont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/>
    </xf>
    <xf numFmtId="171" fontId="7" fillId="0" borderId="31" xfId="0" applyNumberFormat="1" applyFont="1" applyFill="1" applyBorder="1" applyAlignment="1" applyProtection="1">
      <alignment horizontal="center"/>
      <protection/>
    </xf>
    <xf numFmtId="171" fontId="45" fillId="0" borderId="0" xfId="0" applyNumberFormat="1" applyFont="1" applyBorder="1" applyAlignment="1">
      <alignment/>
    </xf>
    <xf numFmtId="0" fontId="45" fillId="39" borderId="13" xfId="0" applyFont="1" applyFill="1" applyBorder="1" applyAlignment="1" applyProtection="1">
      <alignment horizontal="left" vertical="center"/>
      <protection locked="0"/>
    </xf>
    <xf numFmtId="0" fontId="45" fillId="39" borderId="11" xfId="0" applyFont="1" applyFill="1" applyBorder="1" applyAlignment="1" applyProtection="1">
      <alignment horizontal="left" vertical="center"/>
      <protection locked="0"/>
    </xf>
    <xf numFmtId="0" fontId="45" fillId="39" borderId="13" xfId="0" applyFont="1" applyFill="1" applyBorder="1" applyAlignment="1" applyProtection="1">
      <alignment horizontal="left" vertical="center"/>
      <protection locked="0"/>
    </xf>
    <xf numFmtId="0" fontId="45" fillId="39" borderId="11" xfId="0" applyFont="1" applyFill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41" fillId="0" borderId="34" xfId="0" applyFont="1" applyBorder="1" applyAlignment="1">
      <alignment horizontal="left" wrapText="1"/>
    </xf>
    <xf numFmtId="0" fontId="41" fillId="0" borderId="35" xfId="0" applyFont="1" applyBorder="1" applyAlignment="1">
      <alignment horizontal="left" wrapText="1"/>
    </xf>
    <xf numFmtId="5" fontId="41" fillId="0" borderId="36" xfId="0" applyNumberFormat="1" applyFont="1" applyBorder="1" applyAlignment="1">
      <alignment horizontal="center" vertical="center"/>
    </xf>
    <xf numFmtId="5" fontId="41" fillId="0" borderId="37" xfId="0" applyNumberFormat="1" applyFont="1" applyBorder="1" applyAlignment="1">
      <alignment horizontal="center" vertical="center"/>
    </xf>
    <xf numFmtId="1" fontId="41" fillId="0" borderId="36" xfId="0" applyNumberFormat="1" applyFont="1" applyBorder="1" applyAlignment="1">
      <alignment horizontal="center" vertical="center"/>
    </xf>
    <xf numFmtId="1" fontId="41" fillId="0" borderId="37" xfId="0" applyNumberFormat="1" applyFont="1" applyBorder="1" applyAlignment="1">
      <alignment horizontal="center" vertical="center"/>
    </xf>
    <xf numFmtId="0" fontId="45" fillId="39" borderId="32" xfId="0" applyFont="1" applyFill="1" applyBorder="1" applyAlignment="1" applyProtection="1">
      <alignment horizontal="left" vertical="center"/>
      <protection locked="0"/>
    </xf>
    <xf numFmtId="9" fontId="42" fillId="37" borderId="0" xfId="0" applyNumberFormat="1" applyFont="1" applyFill="1" applyAlignment="1">
      <alignment horizontal="center" vertical="center" wrapText="1"/>
    </xf>
    <xf numFmtId="0" fontId="43" fillId="37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2" fillId="40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27.7109375" style="0" customWidth="1"/>
    <col min="2" max="2" width="11.421875" style="0" bestFit="1" customWidth="1"/>
    <col min="4" max="4" width="11.7109375" style="0" bestFit="1" customWidth="1"/>
    <col min="6" max="6" width="9.140625" style="0" customWidth="1"/>
    <col min="10" max="10" width="17.140625" style="0" customWidth="1"/>
  </cols>
  <sheetData>
    <row r="1" spans="1:15" ht="18">
      <c r="A1" s="112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5">
      <c r="A3" s="113" t="s">
        <v>268</v>
      </c>
      <c r="B3" s="175" t="s">
        <v>274</v>
      </c>
      <c r="C3" s="185"/>
      <c r="D3" s="176"/>
      <c r="E3" s="1"/>
      <c r="F3" s="1"/>
      <c r="G3" s="1"/>
      <c r="H3" s="1"/>
      <c r="I3" s="114" t="s">
        <v>270</v>
      </c>
      <c r="J3" s="115"/>
      <c r="K3" s="115" t="s">
        <v>271</v>
      </c>
      <c r="L3" s="115" t="s">
        <v>272</v>
      </c>
      <c r="M3" s="116" t="s">
        <v>273</v>
      </c>
      <c r="N3" s="115" t="s">
        <v>10</v>
      </c>
      <c r="O3" s="115" t="s">
        <v>12</v>
      </c>
    </row>
    <row r="4" spans="1:15" ht="15">
      <c r="A4" s="1"/>
      <c r="B4" s="1"/>
      <c r="C4" s="1"/>
      <c r="D4" s="1"/>
      <c r="E4" s="1"/>
      <c r="F4" s="1"/>
      <c r="G4" s="1"/>
      <c r="H4" s="1"/>
      <c r="I4" s="175" t="s">
        <v>274</v>
      </c>
      <c r="J4" s="176"/>
      <c r="K4" s="117">
        <v>1</v>
      </c>
      <c r="L4" s="117"/>
      <c r="M4" s="117"/>
      <c r="N4" s="117"/>
      <c r="O4" s="117"/>
    </row>
    <row r="5" spans="1:15" ht="15">
      <c r="A5" s="118" t="s">
        <v>275</v>
      </c>
      <c r="B5" s="119" t="s">
        <v>276</v>
      </c>
      <c r="C5" s="119" t="s">
        <v>272</v>
      </c>
      <c r="D5" s="119" t="s">
        <v>277</v>
      </c>
      <c r="E5" s="119" t="s">
        <v>10</v>
      </c>
      <c r="F5" s="119" t="s">
        <v>12</v>
      </c>
      <c r="G5" s="1"/>
      <c r="H5" s="1"/>
      <c r="I5" s="175" t="s">
        <v>278</v>
      </c>
      <c r="J5" s="176"/>
      <c r="K5" s="117">
        <v>1</v>
      </c>
      <c r="L5" s="117">
        <v>1</v>
      </c>
      <c r="M5" s="117"/>
      <c r="N5" s="117"/>
      <c r="O5" s="117"/>
    </row>
    <row r="6" spans="1:15" ht="15">
      <c r="A6" s="1"/>
      <c r="B6" s="1"/>
      <c r="C6" s="1"/>
      <c r="D6" s="1"/>
      <c r="E6" s="1"/>
      <c r="F6" s="1"/>
      <c r="G6" s="1"/>
      <c r="H6" s="1"/>
      <c r="I6" s="175" t="s">
        <v>279</v>
      </c>
      <c r="J6" s="176"/>
      <c r="K6" s="117">
        <v>1</v>
      </c>
      <c r="L6" s="117"/>
      <c r="M6" s="117"/>
      <c r="N6" s="117"/>
      <c r="O6" s="117"/>
    </row>
    <row r="7" spans="1:15" ht="15">
      <c r="A7" s="1" t="s">
        <v>280</v>
      </c>
      <c r="B7" s="120">
        <f>VLOOKUP(B3,I4:O15,3,FALSE)</f>
        <v>1</v>
      </c>
      <c r="C7" s="120">
        <f>VLOOKUP(B3,I4:O15,4,FALSE)</f>
        <v>0</v>
      </c>
      <c r="D7" s="120">
        <f>VLOOKUP(B3,I4:O15,5,FALSE)</f>
        <v>0</v>
      </c>
      <c r="E7" s="120">
        <f>VLOOKUP(B3,I4:O15,6,FALSE)</f>
        <v>0</v>
      </c>
      <c r="F7" s="120">
        <f>VLOOKUP(B3,I4:O15,7,FALSE)</f>
        <v>0</v>
      </c>
      <c r="G7" s="1"/>
      <c r="H7" s="1"/>
      <c r="I7" s="175" t="s">
        <v>171</v>
      </c>
      <c r="J7" s="176"/>
      <c r="K7" s="117">
        <v>1</v>
      </c>
      <c r="L7" s="117"/>
      <c r="M7" s="117"/>
      <c r="N7" s="117"/>
      <c r="O7" s="117">
        <v>1</v>
      </c>
    </row>
    <row r="8" spans="1:15" ht="15">
      <c r="A8" s="1"/>
      <c r="B8" s="1"/>
      <c r="C8" s="1"/>
      <c r="D8" s="1"/>
      <c r="E8" s="1"/>
      <c r="F8" s="1"/>
      <c r="G8" s="121"/>
      <c r="H8" s="1"/>
      <c r="I8" s="175" t="s">
        <v>281</v>
      </c>
      <c r="J8" s="176"/>
      <c r="K8" s="117">
        <v>1</v>
      </c>
      <c r="L8" s="117"/>
      <c r="M8" s="117"/>
      <c r="N8" s="117"/>
      <c r="O8" s="117"/>
    </row>
    <row r="9" spans="1:15" ht="15">
      <c r="A9" s="1"/>
      <c r="B9" s="1"/>
      <c r="C9" s="1"/>
      <c r="D9" s="118">
        <v>2018</v>
      </c>
      <c r="E9" s="118">
        <v>2019</v>
      </c>
      <c r="F9" s="1"/>
      <c r="G9" s="1"/>
      <c r="H9" s="1"/>
      <c r="I9" s="175" t="s">
        <v>282</v>
      </c>
      <c r="J9" s="176"/>
      <c r="K9" s="117">
        <v>0.66</v>
      </c>
      <c r="L9" s="117"/>
      <c r="M9" s="117"/>
      <c r="N9" s="117"/>
      <c r="O9" s="117"/>
    </row>
    <row r="10" spans="1:15" ht="15">
      <c r="A10" s="118" t="s">
        <v>283</v>
      </c>
      <c r="B10" s="1"/>
      <c r="C10" s="1"/>
      <c r="D10" s="122">
        <v>1.5</v>
      </c>
      <c r="E10" s="122">
        <v>2</v>
      </c>
      <c r="F10" s="122"/>
      <c r="G10" s="1"/>
      <c r="H10" s="1"/>
      <c r="I10" s="173" t="s">
        <v>284</v>
      </c>
      <c r="J10" s="174"/>
      <c r="K10" s="117">
        <v>1</v>
      </c>
      <c r="L10" s="117"/>
      <c r="M10" s="117"/>
      <c r="N10" s="117"/>
      <c r="O10" s="117"/>
    </row>
    <row r="11" spans="1:15" ht="15">
      <c r="A11" s="1"/>
      <c r="B11" s="1"/>
      <c r="C11" s="1"/>
      <c r="D11" s="1"/>
      <c r="E11" s="1"/>
      <c r="F11" s="1"/>
      <c r="G11" s="1"/>
      <c r="H11" s="1"/>
      <c r="I11" s="175" t="s">
        <v>285</v>
      </c>
      <c r="J11" s="176"/>
      <c r="K11" s="117">
        <v>1</v>
      </c>
      <c r="L11" s="117">
        <v>1</v>
      </c>
      <c r="M11" s="117"/>
      <c r="N11" s="117"/>
      <c r="O11" s="117"/>
    </row>
    <row r="12" spans="1:15" ht="15">
      <c r="A12" s="1"/>
      <c r="B12" s="1"/>
      <c r="C12" s="1"/>
      <c r="D12" s="1"/>
      <c r="E12" s="123" t="s">
        <v>286</v>
      </c>
      <c r="F12" s="119" t="s">
        <v>287</v>
      </c>
      <c r="G12" s="1"/>
      <c r="H12" s="1"/>
      <c r="I12" s="175" t="s">
        <v>269</v>
      </c>
      <c r="J12" s="176"/>
      <c r="K12" s="117">
        <v>1</v>
      </c>
      <c r="L12" s="117"/>
      <c r="M12" s="117"/>
      <c r="N12" s="117"/>
      <c r="O12" s="117"/>
    </row>
    <row r="13" spans="1:15" ht="15">
      <c r="A13" s="1" t="s">
        <v>288</v>
      </c>
      <c r="B13" s="1"/>
      <c r="C13" s="1"/>
      <c r="D13" s="1"/>
      <c r="E13" s="124">
        <f>'2019 Detail'!Q106</f>
        <v>1130.2340486929907</v>
      </c>
      <c r="F13" s="1"/>
      <c r="G13" s="1"/>
      <c r="H13" s="1"/>
      <c r="I13" s="175" t="s">
        <v>289</v>
      </c>
      <c r="J13" s="176"/>
      <c r="K13" s="117">
        <v>1</v>
      </c>
      <c r="L13" s="117">
        <v>1</v>
      </c>
      <c r="M13" s="117"/>
      <c r="N13" s="117"/>
      <c r="O13" s="117"/>
    </row>
    <row r="14" spans="1:15" ht="15">
      <c r="A14" s="1" t="s">
        <v>290</v>
      </c>
      <c r="B14" s="1"/>
      <c r="C14" s="1"/>
      <c r="D14" s="1"/>
      <c r="E14" s="124">
        <f>'2019 Detail'!R106</f>
        <v>5286.086589738184</v>
      </c>
      <c r="F14" s="1"/>
      <c r="G14" s="1"/>
      <c r="H14" s="1"/>
      <c r="I14" s="175" t="s">
        <v>291</v>
      </c>
      <c r="J14" s="176"/>
      <c r="K14" s="117">
        <v>1</v>
      </c>
      <c r="L14" s="117"/>
      <c r="M14" s="117"/>
      <c r="N14" s="117"/>
      <c r="O14" s="117">
        <v>1</v>
      </c>
    </row>
    <row r="15" spans="1:15" ht="15">
      <c r="A15" s="1" t="s">
        <v>292</v>
      </c>
      <c r="B15" s="1"/>
      <c r="C15" s="1"/>
      <c r="D15" s="1"/>
      <c r="E15" s="124">
        <f>'2019 Detail'!T106</f>
        <v>39558.30407441861</v>
      </c>
      <c r="F15" s="1"/>
      <c r="G15" s="1"/>
      <c r="H15" s="1"/>
      <c r="I15" s="175" t="s">
        <v>293</v>
      </c>
      <c r="J15" s="176"/>
      <c r="K15" s="117">
        <v>0.5</v>
      </c>
      <c r="L15" s="117"/>
      <c r="M15" s="117"/>
      <c r="N15" s="117"/>
      <c r="O15" s="117"/>
    </row>
    <row r="16" spans="1:15" ht="15">
      <c r="A16" s="1" t="s">
        <v>294</v>
      </c>
      <c r="B16" s="1"/>
      <c r="C16" s="1"/>
      <c r="D16" s="1"/>
      <c r="E16" s="124">
        <f>'2019 Detail'!U106</f>
        <v>4147.257590071019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1" t="s">
        <v>22</v>
      </c>
      <c r="B17" s="1"/>
      <c r="C17" s="1"/>
      <c r="D17" s="1"/>
      <c r="E17" s="124">
        <f>'2019 Detail'!V106</f>
        <v>12218.035266963772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 t="s">
        <v>295</v>
      </c>
      <c r="B18" s="1"/>
      <c r="C18" s="1"/>
      <c r="D18" s="1"/>
      <c r="E18" s="124">
        <f>'2019 Detail'!W106</f>
        <v>-2691.6200082462556</v>
      </c>
      <c r="F18" s="1"/>
      <c r="G18" s="1"/>
      <c r="H18" s="1"/>
      <c r="I18" s="177" t="s">
        <v>296</v>
      </c>
      <c r="J18" s="178"/>
      <c r="K18" s="181">
        <f>'2019 Detail'!AL106</f>
        <v>21934.30167694444</v>
      </c>
      <c r="L18" s="1"/>
      <c r="M18" s="1"/>
      <c r="N18" s="1"/>
      <c r="O18" s="1"/>
    </row>
    <row r="19" spans="1:15" ht="15">
      <c r="A19" s="1" t="s">
        <v>24</v>
      </c>
      <c r="B19" s="1"/>
      <c r="C19" s="1"/>
      <c r="D19" s="1"/>
      <c r="E19" s="124">
        <f>'2019 Detail'!X106</f>
        <v>4461.3448348265565</v>
      </c>
      <c r="F19" s="1"/>
      <c r="G19" s="1"/>
      <c r="H19" s="1"/>
      <c r="I19" s="179"/>
      <c r="J19" s="180"/>
      <c r="K19" s="182"/>
      <c r="L19" s="1"/>
      <c r="M19" s="1"/>
      <c r="N19" s="1"/>
      <c r="O19" s="1"/>
    </row>
    <row r="20" spans="1:15" ht="15">
      <c r="A20" s="1" t="s">
        <v>297</v>
      </c>
      <c r="B20" s="1"/>
      <c r="C20" s="1"/>
      <c r="D20" s="1"/>
      <c r="E20" s="124">
        <f>'2019 Detail'!Z106</f>
        <v>8951.18702953098</v>
      </c>
      <c r="F20" s="1"/>
      <c r="G20" s="1"/>
      <c r="H20" s="1"/>
      <c r="I20" s="177" t="s">
        <v>304</v>
      </c>
      <c r="J20" s="177"/>
      <c r="K20" s="183">
        <f>'2019 Detail'!L106</f>
        <v>38.333333333333336</v>
      </c>
      <c r="L20" s="1"/>
      <c r="M20" s="1"/>
      <c r="N20" s="1"/>
      <c r="O20" s="1"/>
    </row>
    <row r="21" spans="1:15" ht="15">
      <c r="A21" s="1" t="s">
        <v>298</v>
      </c>
      <c r="B21" s="1"/>
      <c r="C21" s="1"/>
      <c r="D21" s="1"/>
      <c r="E21" s="124">
        <f>'2019 Detail'!Y106</f>
        <v>0</v>
      </c>
      <c r="F21" s="1"/>
      <c r="G21" s="1"/>
      <c r="H21" s="1"/>
      <c r="I21" s="177"/>
      <c r="J21" s="177"/>
      <c r="K21" s="184"/>
      <c r="L21" s="1"/>
      <c r="M21" s="1"/>
      <c r="N21" s="1"/>
      <c r="O21" s="1"/>
    </row>
    <row r="22" spans="1:15" ht="15">
      <c r="A22" s="1" t="s">
        <v>312</v>
      </c>
      <c r="B22" s="1"/>
      <c r="C22" s="1"/>
      <c r="E22" s="162">
        <f>SUM(E13:E21)</f>
        <v>73060.82942599586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18"/>
      <c r="B23" s="1"/>
      <c r="C23" s="1"/>
      <c r="D23" s="172"/>
      <c r="E23" s="17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 t="s">
        <v>27</v>
      </c>
      <c r="B24" s="1"/>
      <c r="C24" s="1"/>
      <c r="D24" s="124">
        <f>' 2018 Summary'!B16</f>
        <v>35000.84866748932</v>
      </c>
      <c r="E24" s="124">
        <f>'2019 Detail'!AB106</f>
        <v>36530.41471299793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 t="s">
        <v>299</v>
      </c>
      <c r="B25" s="1"/>
      <c r="C25" s="1"/>
      <c r="D25" s="124">
        <f>' 2018 Summary'!B17</f>
        <v>11587.896598641148</v>
      </c>
      <c r="E25" s="124">
        <f>'2019 Detail'!AC106</f>
        <v>13240.685218016619</v>
      </c>
      <c r="F25" s="125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18" t="s">
        <v>254</v>
      </c>
      <c r="B26" s="1"/>
      <c r="C26" s="1"/>
      <c r="D26" s="126">
        <f>' 2018 Summary'!B18</f>
        <v>46588.74526613047</v>
      </c>
      <c r="E26" s="126">
        <f>'2019 Detail'!AD106</f>
        <v>49771.09993101455</v>
      </c>
      <c r="F26" s="127"/>
      <c r="G26" s="1"/>
      <c r="H26" s="167"/>
      <c r="I26" s="1"/>
      <c r="J26" s="1"/>
      <c r="K26" s="1"/>
      <c r="L26" s="1"/>
      <c r="M26" s="1"/>
      <c r="N26" s="1"/>
      <c r="O26" s="1"/>
    </row>
    <row r="27" spans="1:15" ht="15.75" thickBot="1">
      <c r="A27" s="1" t="s">
        <v>307</v>
      </c>
      <c r="B27" s="124"/>
      <c r="C27" s="1"/>
      <c r="D27" s="124">
        <f>' 2018 Summary'!B19</f>
        <v>-19518</v>
      </c>
      <c r="E27" s="124">
        <f>E28-E26</f>
        <v>-23501.740400552666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18" t="s">
        <v>301</v>
      </c>
      <c r="B28" s="129"/>
      <c r="C28" s="1"/>
      <c r="D28" s="160">
        <f>' 2018 Summary'!B20</f>
        <v>27071</v>
      </c>
      <c r="E28" s="160">
        <f>'2019 Detail'!BX106</f>
        <v>26269.359530461883</v>
      </c>
      <c r="F28" s="130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thickBot="1">
      <c r="A29" s="1" t="s">
        <v>306</v>
      </c>
      <c r="B29" s="1"/>
      <c r="C29" s="1"/>
      <c r="D29" s="124">
        <f>' 2018 Summary'!B21</f>
        <v>-3071</v>
      </c>
      <c r="E29" s="128">
        <f>-'2019 Detail'!CC106</f>
        <v>-1838</v>
      </c>
      <c r="F29" s="13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thickBot="1">
      <c r="A30" s="118" t="s">
        <v>4</v>
      </c>
      <c r="B30" s="1"/>
      <c r="C30" s="1"/>
      <c r="D30" s="132">
        <f>' 2018 Summary'!B22</f>
        <v>24000</v>
      </c>
      <c r="E30" s="132">
        <f>SUM(E28:E29)</f>
        <v>24431.359530461883</v>
      </c>
      <c r="F30" s="133">
        <f>-(D30-E30)/D30</f>
        <v>0.017973313769245124</v>
      </c>
      <c r="G30" s="124"/>
      <c r="H30" s="1"/>
      <c r="I30" s="1"/>
      <c r="J30" s="1"/>
      <c r="K30" s="1"/>
      <c r="L30" s="1"/>
      <c r="M30" s="1"/>
      <c r="N30" s="1"/>
      <c r="O30" s="1"/>
    </row>
    <row r="31" spans="1:15" ht="15">
      <c r="A31" s="118"/>
      <c r="B31" s="1"/>
      <c r="C31" s="1"/>
      <c r="D31" s="172"/>
      <c r="E31" s="172"/>
      <c r="F31" s="133"/>
      <c r="G31" s="124"/>
      <c r="H31" s="1"/>
      <c r="I31" s="1"/>
      <c r="J31" s="1"/>
      <c r="K31" s="1"/>
      <c r="L31" s="1"/>
      <c r="M31" s="1"/>
      <c r="N31" s="1"/>
      <c r="O31" s="1"/>
    </row>
    <row r="32" spans="1:15" ht="15">
      <c r="A32" s="118" t="s">
        <v>309</v>
      </c>
      <c r="B32" s="1"/>
      <c r="C32" s="1"/>
      <c r="D32" s="128">
        <f>' 2018 Summary'!B24</f>
        <v>46589</v>
      </c>
      <c r="E32" s="128">
        <f>'2019 Detail'!AI106</f>
        <v>49771.09993101455</v>
      </c>
      <c r="F32" s="133"/>
      <c r="G32" s="124"/>
      <c r="H32" s="1"/>
      <c r="I32" s="1"/>
      <c r="J32" s="1"/>
      <c r="K32" s="1"/>
      <c r="L32" s="1"/>
      <c r="M32" s="1"/>
      <c r="N32" s="1"/>
      <c r="O32" s="1"/>
    </row>
    <row r="33" spans="1:15" ht="15">
      <c r="A33" s="1" t="s">
        <v>303</v>
      </c>
      <c r="B33" s="1"/>
      <c r="C33" s="1"/>
      <c r="D33" s="134">
        <f>(D30-D32)/D32</f>
        <v>-0.48485694047951233</v>
      </c>
      <c r="E33" s="134">
        <f>(E30-E32)/E32</f>
        <v>-0.5091255856445793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8:15" ht="15">
      <c r="H34" s="1"/>
      <c r="I34" s="1"/>
      <c r="J34" s="1"/>
      <c r="K34" s="1"/>
      <c r="L34" s="1"/>
      <c r="M34" s="1"/>
      <c r="N34" s="1"/>
      <c r="O34" s="1"/>
    </row>
  </sheetData>
  <sheetProtection sheet="1" objects="1" scenarios="1"/>
  <protectedRanges>
    <protectedRange sqref="B7:F7" name="Range5_1"/>
  </protectedRanges>
  <mergeCells count="16">
    <mergeCell ref="I14:J14"/>
    <mergeCell ref="B3:D3"/>
    <mergeCell ref="I4:J4"/>
    <mergeCell ref="I5:J5"/>
    <mergeCell ref="I6:J6"/>
    <mergeCell ref="I7:J7"/>
    <mergeCell ref="I8:J8"/>
    <mergeCell ref="I9:J9"/>
    <mergeCell ref="I11:J11"/>
    <mergeCell ref="I12:J12"/>
    <mergeCell ref="I13:J13"/>
    <mergeCell ref="I15:J15"/>
    <mergeCell ref="I18:J19"/>
    <mergeCell ref="K18:K19"/>
    <mergeCell ref="I20:J21"/>
    <mergeCell ref="K20:K21"/>
  </mergeCells>
  <printOptions/>
  <pageMargins left="0.7086614173228347" right="0.7086614173228347" top="0.7480314960629921" bottom="0.7480314960629921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38"/>
  <sheetViews>
    <sheetView zoomScalePageLayoutView="0" workbookViewId="0" topLeftCell="A1">
      <pane xSplit="1" ySplit="60" topLeftCell="AX61" activePane="bottomRight" state="frozen"/>
      <selection pane="topLeft" activeCell="A1" sqref="A1"/>
      <selection pane="topRight" activeCell="B1" sqref="B1"/>
      <selection pane="bottomLeft" activeCell="A61" sqref="A61"/>
      <selection pane="bottomRight" activeCell="BV65" sqref="BV65"/>
    </sheetView>
  </sheetViews>
  <sheetFormatPr defaultColWidth="9.140625" defaultRowHeight="15"/>
  <cols>
    <col min="1" max="1" width="45.140625" style="2" customWidth="1"/>
    <col min="2" max="2" width="13.7109375" style="3" customWidth="1"/>
    <col min="3" max="3" width="12.00390625" style="15" customWidth="1"/>
    <col min="4" max="4" width="11.8515625" style="16" customWidth="1"/>
    <col min="5" max="5" width="9.421875" style="15" customWidth="1"/>
    <col min="6" max="6" width="9.421875" style="16" customWidth="1"/>
    <col min="7" max="7" width="9.421875" style="15" customWidth="1"/>
    <col min="8" max="10" width="9.421875" style="15" hidden="1" customWidth="1"/>
    <col min="11" max="11" width="1.7109375" style="3" customWidth="1"/>
    <col min="12" max="12" width="9.421875" style="3" customWidth="1"/>
    <col min="13" max="13" width="13.57421875" style="3" hidden="1" customWidth="1"/>
    <col min="14" max="14" width="1.7109375" style="3" customWidth="1"/>
    <col min="15" max="18" width="9.421875" style="3" customWidth="1"/>
    <col min="19" max="19" width="1.7109375" style="3" customWidth="1"/>
    <col min="20" max="20" width="10.28125" style="3" customWidth="1"/>
    <col min="21" max="21" width="9.421875" style="3" customWidth="1"/>
    <col min="22" max="22" width="10.28125" style="3" customWidth="1"/>
    <col min="23" max="24" width="9.421875" style="3" customWidth="1"/>
    <col min="25" max="25" width="12.00390625" style="3" customWidth="1"/>
    <col min="26" max="26" width="9.421875" style="3" customWidth="1"/>
    <col min="27" max="27" width="1.7109375" style="3" customWidth="1"/>
    <col min="28" max="30" width="10.28125" style="3" customWidth="1"/>
    <col min="31" max="31" width="1.7109375" style="3" customWidth="1"/>
    <col min="32" max="34" width="10.28125" style="3" customWidth="1"/>
    <col min="35" max="35" width="10.8515625" style="3" customWidth="1"/>
    <col min="36" max="36" width="10.8515625" style="3" hidden="1" customWidth="1"/>
    <col min="37" max="37" width="1.7109375" style="3" customWidth="1"/>
    <col min="38" max="38" width="9.421875" style="3" customWidth="1"/>
    <col min="39" max="39" width="10.57421875" style="3" customWidth="1"/>
    <col min="40" max="40" width="10.28125" style="3" customWidth="1"/>
    <col min="41" max="41" width="9.421875" style="3" hidden="1" customWidth="1"/>
    <col min="42" max="42" width="10.8515625" style="3" customWidth="1"/>
    <col min="43" max="44" width="9.421875" style="3" customWidth="1"/>
    <col min="45" max="46" width="9.421875" style="3" hidden="1" customWidth="1"/>
    <col min="47" max="47" width="1.7109375" style="3" customWidth="1"/>
    <col min="48" max="48" width="10.28125" style="3" customWidth="1"/>
    <col min="49" max="49" width="10.7109375" style="3" customWidth="1"/>
    <col min="50" max="50" width="10.28125" style="3" customWidth="1"/>
    <col min="51" max="52" width="10.28125" style="3" bestFit="1" customWidth="1"/>
    <col min="53" max="54" width="10.28125" style="3" customWidth="1"/>
    <col min="55" max="55" width="1.7109375" style="3" customWidth="1"/>
    <col min="56" max="57" width="9.421875" style="3" hidden="1" customWidth="1"/>
    <col min="58" max="58" width="11.7109375" style="3" hidden="1" customWidth="1"/>
    <col min="59" max="60" width="9.421875" style="3" hidden="1" customWidth="1"/>
    <col min="61" max="64" width="9.140625" style="3" hidden="1" customWidth="1"/>
    <col min="65" max="66" width="9.421875" style="3" hidden="1" customWidth="1"/>
    <col min="67" max="67" width="10.28125" style="3" hidden="1" customWidth="1"/>
    <col min="68" max="68" width="10.140625" style="3" hidden="1" customWidth="1"/>
    <col min="69" max="71" width="9.421875" style="3" hidden="1" customWidth="1"/>
    <col min="72" max="72" width="1.7109375" style="3" customWidth="1"/>
    <col min="73" max="73" width="10.28125" style="3" customWidth="1"/>
    <col min="74" max="74" width="10.00390625" style="3" customWidth="1"/>
    <col min="75" max="76" width="9.140625" style="3" customWidth="1"/>
    <col min="77" max="77" width="1.7109375" style="3" customWidth="1"/>
    <col min="78" max="78" width="10.28125" style="3" bestFit="1" customWidth="1"/>
    <col min="79" max="79" width="9.8515625" style="3" customWidth="1"/>
    <col min="80" max="80" width="1.7109375" style="3" customWidth="1"/>
    <col min="81" max="81" width="10.421875" style="3" customWidth="1"/>
    <col min="82" max="82" width="9.140625" style="3" customWidth="1"/>
    <col min="83" max="16384" width="9.140625" style="3" customWidth="1"/>
  </cols>
  <sheetData>
    <row r="1" spans="4:82" ht="90.75" customHeight="1" hidden="1">
      <c r="D1" s="22"/>
      <c r="E1" s="18"/>
      <c r="F1" s="22"/>
      <c r="G1" s="18"/>
      <c r="H1" s="18"/>
      <c r="I1" s="18"/>
      <c r="J1" s="18"/>
      <c r="L1" s="4"/>
      <c r="O1" s="5"/>
      <c r="P1" s="6"/>
      <c r="AF1" s="186" t="s">
        <v>254</v>
      </c>
      <c r="AG1" s="186"/>
      <c r="AH1" s="186"/>
      <c r="AI1" s="186"/>
      <c r="AJ1" s="7"/>
      <c r="AO1" s="3" t="s">
        <v>0</v>
      </c>
      <c r="AQ1" s="7"/>
      <c r="AR1" s="60" t="s">
        <v>1</v>
      </c>
      <c r="AS1" s="7"/>
      <c r="AT1" s="7"/>
      <c r="AW1" s="7"/>
      <c r="AX1" s="186" t="s">
        <v>267</v>
      </c>
      <c r="AY1" s="186"/>
      <c r="AZ1" s="186"/>
      <c r="BA1" s="186"/>
      <c r="BB1" s="186"/>
      <c r="BD1" s="9"/>
      <c r="BM1" s="4"/>
      <c r="BN1" s="4"/>
      <c r="BZ1" s="187" t="s">
        <v>264</v>
      </c>
      <c r="CA1" s="187"/>
      <c r="CB1" s="187"/>
      <c r="CC1" s="187"/>
      <c r="CD1" s="187"/>
    </row>
    <row r="2" spans="2:81" ht="15.75" thickBot="1">
      <c r="B2" s="26" t="s">
        <v>255</v>
      </c>
      <c r="C2" s="41">
        <v>1</v>
      </c>
      <c r="D2" s="43">
        <v>0</v>
      </c>
      <c r="E2" s="44">
        <v>0.3333333333333333</v>
      </c>
      <c r="F2" s="43">
        <v>0</v>
      </c>
      <c r="G2" s="44">
        <v>0.05</v>
      </c>
      <c r="H2" s="18">
        <v>1</v>
      </c>
      <c r="I2" s="18">
        <v>1</v>
      </c>
      <c r="J2" s="18">
        <v>1</v>
      </c>
      <c r="L2" s="15" t="s">
        <v>2</v>
      </c>
      <c r="O2" s="5"/>
      <c r="P2" s="6"/>
      <c r="T2" s="3" t="s">
        <v>3</v>
      </c>
      <c r="AB2" s="189" t="s">
        <v>4</v>
      </c>
      <c r="AC2" s="189"/>
      <c r="AD2" s="188" t="s">
        <v>252</v>
      </c>
      <c r="AE2" s="188"/>
      <c r="AF2" s="6">
        <v>0.02</v>
      </c>
      <c r="AG2" s="6">
        <v>0.03</v>
      </c>
      <c r="AH2" s="6">
        <v>0.05</v>
      </c>
      <c r="AI2" s="6">
        <v>0.06</v>
      </c>
      <c r="AJ2" s="6"/>
      <c r="AO2" s="7">
        <v>0.04</v>
      </c>
      <c r="AP2" s="6">
        <v>0.055</v>
      </c>
      <c r="AQ2" s="6">
        <v>0.11</v>
      </c>
      <c r="AR2" s="40">
        <v>0.06</v>
      </c>
      <c r="AS2" s="7">
        <v>0.2388246506249998</v>
      </c>
      <c r="AT2" s="7">
        <v>0.3069600064093747</v>
      </c>
      <c r="AV2" s="7"/>
      <c r="AW2" s="7"/>
      <c r="AX2" s="7"/>
      <c r="AY2" s="7"/>
      <c r="AZ2" s="7"/>
      <c r="BA2" s="7"/>
      <c r="BB2" s="7"/>
      <c r="BM2" s="3" t="s">
        <v>5</v>
      </c>
      <c r="BZ2" s="146">
        <v>628503</v>
      </c>
      <c r="CA2" s="146"/>
      <c r="CC2" s="10">
        <f>+SUM(CC61:CC72)</f>
        <v>25000</v>
      </c>
    </row>
    <row r="3" spans="1:82" s="32" customFormat="1" ht="75">
      <c r="A3" s="35" t="s">
        <v>6</v>
      </c>
      <c r="B3" s="28" t="s">
        <v>7</v>
      </c>
      <c r="C3" s="29" t="s">
        <v>8</v>
      </c>
      <c r="D3" s="30" t="s">
        <v>9</v>
      </c>
      <c r="E3" s="31" t="s">
        <v>10</v>
      </c>
      <c r="F3" s="30" t="s">
        <v>11</v>
      </c>
      <c r="G3" s="31" t="s">
        <v>12</v>
      </c>
      <c r="H3" s="31" t="s">
        <v>13</v>
      </c>
      <c r="I3" s="31" t="s">
        <v>14</v>
      </c>
      <c r="J3" s="31" t="s">
        <v>15</v>
      </c>
      <c r="K3" s="3"/>
      <c r="L3" s="30" t="s">
        <v>253</v>
      </c>
      <c r="M3" s="28" t="s">
        <v>16</v>
      </c>
      <c r="N3" s="3"/>
      <c r="O3" s="33" t="s">
        <v>17</v>
      </c>
      <c r="P3" s="34" t="s">
        <v>18</v>
      </c>
      <c r="Q3" s="35" t="s">
        <v>19</v>
      </c>
      <c r="R3" s="35" t="s">
        <v>20</v>
      </c>
      <c r="S3" s="10"/>
      <c r="T3" s="35" t="s">
        <v>21</v>
      </c>
      <c r="U3" s="35" t="s">
        <v>251</v>
      </c>
      <c r="V3" s="35" t="s">
        <v>22</v>
      </c>
      <c r="W3" s="35" t="s">
        <v>23</v>
      </c>
      <c r="X3" s="35" t="s">
        <v>24</v>
      </c>
      <c r="Y3" s="35" t="s">
        <v>25</v>
      </c>
      <c r="Z3" s="35" t="s">
        <v>26</v>
      </c>
      <c r="AA3" s="10"/>
      <c r="AB3" s="35" t="s">
        <v>27</v>
      </c>
      <c r="AC3" s="36" t="s">
        <v>28</v>
      </c>
      <c r="AD3" s="37" t="s">
        <v>29</v>
      </c>
      <c r="AE3" s="10"/>
      <c r="AF3" s="28">
        <v>2016</v>
      </c>
      <c r="AG3" s="28">
        <v>2017</v>
      </c>
      <c r="AH3" s="28">
        <v>2018</v>
      </c>
      <c r="AI3" s="28">
        <v>2019</v>
      </c>
      <c r="AJ3" s="28">
        <v>2020</v>
      </c>
      <c r="AK3" s="10"/>
      <c r="AL3" s="35" t="s">
        <v>30</v>
      </c>
      <c r="AM3" s="35" t="s">
        <v>31</v>
      </c>
      <c r="AN3" s="35" t="s">
        <v>32</v>
      </c>
      <c r="AO3" s="3"/>
      <c r="AP3" s="28">
        <v>2016</v>
      </c>
      <c r="AQ3" s="28">
        <v>2017</v>
      </c>
      <c r="AR3" s="28">
        <v>2019</v>
      </c>
      <c r="AS3" s="28">
        <v>2019</v>
      </c>
      <c r="AT3" s="28">
        <v>2020</v>
      </c>
      <c r="AU3" s="3"/>
      <c r="AV3" s="28">
        <v>2016</v>
      </c>
      <c r="AW3" s="35" t="s">
        <v>33</v>
      </c>
      <c r="AX3" s="35" t="s">
        <v>34</v>
      </c>
      <c r="AY3" s="35" t="s">
        <v>260</v>
      </c>
      <c r="AZ3" s="35" t="s">
        <v>35</v>
      </c>
      <c r="BA3" s="35">
        <v>2019</v>
      </c>
      <c r="BB3" s="28">
        <v>2020</v>
      </c>
      <c r="BC3" s="3"/>
      <c r="BD3" s="35" t="s">
        <v>36</v>
      </c>
      <c r="BE3" s="35" t="s">
        <v>37</v>
      </c>
      <c r="BF3" s="35" t="s">
        <v>38</v>
      </c>
      <c r="BG3" s="35" t="s">
        <v>39</v>
      </c>
      <c r="BH3" s="39"/>
      <c r="BI3" s="39"/>
      <c r="BJ3" s="39"/>
      <c r="BK3" s="39"/>
      <c r="BL3" s="39"/>
      <c r="BM3" s="30" t="s">
        <v>40</v>
      </c>
      <c r="BN3" s="30" t="s">
        <v>41</v>
      </c>
      <c r="BO3" s="35" t="s">
        <v>42</v>
      </c>
      <c r="BP3" s="35" t="s">
        <v>43</v>
      </c>
      <c r="BQ3" s="35"/>
      <c r="BR3" s="35"/>
      <c r="BS3" s="35" t="s">
        <v>46</v>
      </c>
      <c r="BU3" s="35" t="s">
        <v>263</v>
      </c>
      <c r="BV3" s="36" t="s">
        <v>266</v>
      </c>
      <c r="BW3" s="27" t="s">
        <v>265</v>
      </c>
      <c r="BX3" s="35" t="s">
        <v>305</v>
      </c>
      <c r="BY3" s="3"/>
      <c r="BZ3" s="108" t="s">
        <v>259</v>
      </c>
      <c r="CA3" s="109" t="s">
        <v>261</v>
      </c>
      <c r="CB3" s="3"/>
      <c r="CC3" s="35" t="s">
        <v>257</v>
      </c>
      <c r="CD3" s="35" t="s">
        <v>262</v>
      </c>
    </row>
    <row r="4" spans="2:79" ht="15">
      <c r="B4" s="15"/>
      <c r="C4" s="58">
        <v>103.61999999999999</v>
      </c>
      <c r="D4" s="59">
        <v>18.5</v>
      </c>
      <c r="E4" s="58">
        <v>17</v>
      </c>
      <c r="F4" s="59">
        <v>8</v>
      </c>
      <c r="G4" s="58">
        <v>27</v>
      </c>
      <c r="H4" s="18">
        <v>0</v>
      </c>
      <c r="I4" s="18">
        <v>0</v>
      </c>
      <c r="J4" s="20">
        <v>0</v>
      </c>
      <c r="L4" s="52">
        <v>11828.800000000001</v>
      </c>
      <c r="M4" s="3">
        <v>0</v>
      </c>
      <c r="O4" s="47">
        <v>110.63666666666663</v>
      </c>
      <c r="P4" s="57">
        <v>1</v>
      </c>
      <c r="Q4" s="52">
        <v>125045.3277005635</v>
      </c>
      <c r="R4" s="52">
        <v>584835.0000000001</v>
      </c>
      <c r="S4" s="10"/>
      <c r="T4" s="46">
        <v>4830860.093568003</v>
      </c>
      <c r="U4" s="46">
        <v>576966.47593068</v>
      </c>
      <c r="V4" s="46">
        <v>1699773.0663399992</v>
      </c>
      <c r="W4" s="46">
        <v>-342090.9676800005</v>
      </c>
      <c r="X4" s="46">
        <v>776809.3626399991</v>
      </c>
      <c r="Y4" s="46">
        <v>-927522</v>
      </c>
      <c r="Z4" s="46">
        <v>927522.000000001</v>
      </c>
      <c r="AA4" s="10"/>
      <c r="AB4" s="46">
        <v>4085776.103657608</v>
      </c>
      <c r="AC4" s="46">
        <v>4085776.1036576065</v>
      </c>
      <c r="AD4" s="49">
        <v>8171552.207315215</v>
      </c>
      <c r="AE4" s="10"/>
      <c r="AF4" s="10">
        <v>7088509.23601179</v>
      </c>
      <c r="AG4" s="10">
        <v>7386488.379010585</v>
      </c>
      <c r="AH4" s="10">
        <v>7340950.02375625</v>
      </c>
      <c r="AI4" s="46">
        <v>8171552.207315215</v>
      </c>
      <c r="AJ4" s="46">
        <v>7967897.7695272025</v>
      </c>
      <c r="AK4" s="10"/>
      <c r="AL4" s="46"/>
      <c r="AM4" s="46"/>
      <c r="AN4" s="46">
        <v>6514631.26284007</v>
      </c>
      <c r="AP4" s="46">
        <v>-1081691.2029329203</v>
      </c>
      <c r="AQ4" s="46">
        <v>-949663.9282634789</v>
      </c>
      <c r="AR4" s="46">
        <v>-966736.5400081623</v>
      </c>
      <c r="AS4" s="10">
        <v>-524856.8473862298</v>
      </c>
      <c r="AT4" s="10">
        <v>-407904.95058050135</v>
      </c>
      <c r="AV4" s="10">
        <v>6072956.972934077</v>
      </c>
      <c r="AW4" s="10"/>
      <c r="AX4" s="46">
        <v>7027673.158520213</v>
      </c>
      <c r="AY4" s="46">
        <v>6576203</v>
      </c>
      <c r="AZ4" s="46">
        <v>7310803.029084298</v>
      </c>
      <c r="BA4" s="46">
        <v>7471197.297768537</v>
      </c>
      <c r="BB4" s="46">
        <v>7588149.194574262</v>
      </c>
      <c r="BD4" s="51"/>
      <c r="BE4" s="51"/>
      <c r="BF4" s="51"/>
      <c r="BG4" s="51"/>
      <c r="BM4" s="52">
        <v>13504</v>
      </c>
      <c r="BN4" s="52">
        <v>2010.2</v>
      </c>
      <c r="BO4" s="46">
        <v>5689695</v>
      </c>
      <c r="BP4" s="46">
        <v>824936.2628400718</v>
      </c>
      <c r="BQ4" s="51" t="s">
        <v>44</v>
      </c>
      <c r="BR4" s="51" t="s">
        <v>45</v>
      </c>
      <c r="BS4" s="51"/>
      <c r="BZ4" s="145"/>
      <c r="CA4" s="95"/>
    </row>
    <row r="5" spans="2:82" ht="15">
      <c r="B5" s="15"/>
      <c r="C5" s="17" t="s">
        <v>47</v>
      </c>
      <c r="D5" s="22" t="s">
        <v>47</v>
      </c>
      <c r="E5" s="18" t="s">
        <v>47</v>
      </c>
      <c r="F5" s="22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L5" s="4" t="s">
        <v>48</v>
      </c>
      <c r="O5" s="5"/>
      <c r="P5" s="6"/>
      <c r="AD5" s="25"/>
      <c r="AG5" s="11">
        <v>1.0750474097653988</v>
      </c>
      <c r="AH5" s="11">
        <v>0.9938349114061106</v>
      </c>
      <c r="AI5" s="11">
        <v>1.1131464157733033</v>
      </c>
      <c r="AJ5" s="11">
        <v>0.9750776311989171</v>
      </c>
      <c r="AK5" s="11"/>
      <c r="AL5" s="11"/>
      <c r="AM5" s="11"/>
      <c r="AO5" s="3" t="s">
        <v>49</v>
      </c>
      <c r="AP5" s="7">
        <v>0.7888888888888889</v>
      </c>
      <c r="AQ5" s="7">
        <v>0.7111111111111111</v>
      </c>
      <c r="AR5" s="7">
        <v>0.75</v>
      </c>
      <c r="AS5" s="7">
        <v>0.4111111111111111</v>
      </c>
      <c r="AT5" s="7">
        <v>0.30000000000000004</v>
      </c>
      <c r="AU5" s="7"/>
      <c r="AV5" s="12"/>
      <c r="AW5" s="12"/>
      <c r="AX5" s="12"/>
      <c r="AY5" s="12"/>
      <c r="AZ5" s="6"/>
      <c r="BA5" s="12"/>
      <c r="BB5" s="12"/>
      <c r="BD5" s="3" t="s">
        <v>47</v>
      </c>
      <c r="BE5" s="3" t="s">
        <v>47</v>
      </c>
      <c r="BF5" s="3" t="s">
        <v>47</v>
      </c>
      <c r="BM5" s="4" t="s">
        <v>48</v>
      </c>
      <c r="BN5" s="4" t="s">
        <v>48</v>
      </c>
      <c r="BQ5" s="3" t="s">
        <v>50</v>
      </c>
      <c r="BR5" s="3" t="s">
        <v>50</v>
      </c>
      <c r="BX5" s="103">
        <v>653503</v>
      </c>
      <c r="BZ5" s="148">
        <v>628503</v>
      </c>
      <c r="CA5" s="95"/>
      <c r="CC5" s="147">
        <f>SUM(CC61:CC72)</f>
        <v>25000</v>
      </c>
      <c r="CD5" s="6">
        <f>SUM(CD61:CD72)</f>
        <v>1</v>
      </c>
    </row>
    <row r="6" spans="1:79" ht="15" hidden="1">
      <c r="A6" s="2" t="s">
        <v>51</v>
      </c>
      <c r="B6" s="15" t="s">
        <v>52</v>
      </c>
      <c r="C6" s="19">
        <v>1</v>
      </c>
      <c r="D6" s="23"/>
      <c r="E6" s="19"/>
      <c r="F6" s="23"/>
      <c r="G6" s="19"/>
      <c r="H6" s="18"/>
      <c r="I6" s="18"/>
      <c r="J6" s="18"/>
      <c r="L6" s="4">
        <v>145.66666666666666</v>
      </c>
      <c r="M6" s="3" t="s">
        <v>53</v>
      </c>
      <c r="O6" s="5">
        <v>1</v>
      </c>
      <c r="P6" s="6">
        <v>0.009038594799795128</v>
      </c>
      <c r="Q6" s="10">
        <v>1130.2340486929907</v>
      </c>
      <c r="R6" s="10">
        <v>5286.086589738184</v>
      </c>
      <c r="T6" s="10">
        <v>39558.30407441861</v>
      </c>
      <c r="U6" s="10">
        <v>4147.257590071019</v>
      </c>
      <c r="V6" s="10">
        <v>12218.035266963772</v>
      </c>
      <c r="W6" s="10">
        <v>-2691.6200082462556</v>
      </c>
      <c r="X6" s="10">
        <v>4461.3448348265565</v>
      </c>
      <c r="Y6" s="10">
        <v>0</v>
      </c>
      <c r="Z6" s="10">
        <v>8951.18702953098</v>
      </c>
      <c r="AB6" s="10">
        <v>36530.41471299793</v>
      </c>
      <c r="AC6" s="10">
        <v>50314.60382846314</v>
      </c>
      <c r="AD6" s="24">
        <v>86845.01854146108</v>
      </c>
      <c r="AE6" s="10"/>
      <c r="AF6" s="10">
        <v>73630.63927165934</v>
      </c>
      <c r="AG6" s="10">
        <v>79156.42802836782</v>
      </c>
      <c r="AH6" s="10">
        <v>78839.05542388972</v>
      </c>
      <c r="AI6" s="10">
        <v>86845.01854146108</v>
      </c>
      <c r="AJ6" s="10">
        <v>86845.01854146108</v>
      </c>
      <c r="AK6" s="10"/>
      <c r="AL6" s="10">
        <v>64019.97655555556</v>
      </c>
      <c r="AM6" s="10">
        <v>75122</v>
      </c>
      <c r="AN6" s="10">
        <v>71136.33333333333</v>
      </c>
      <c r="AO6" s="10" t="s">
        <v>54</v>
      </c>
      <c r="AP6" s="10">
        <v>-6214.099604992691</v>
      </c>
      <c r="AQ6" s="10">
        <v>-8286.62802836782</v>
      </c>
      <c r="AR6" s="10">
        <v>-7215.698541461068</v>
      </c>
      <c r="AS6" s="10">
        <v>0</v>
      </c>
      <c r="AT6" s="10">
        <v>0</v>
      </c>
      <c r="AU6" s="10"/>
      <c r="AV6" s="10">
        <v>67416.53966666665</v>
      </c>
      <c r="AW6" s="10">
        <v>67417</v>
      </c>
      <c r="AX6" s="10">
        <v>75122</v>
      </c>
      <c r="AY6" s="10">
        <v>75122</v>
      </c>
      <c r="AZ6" s="10">
        <v>79629.32</v>
      </c>
      <c r="BA6" s="10">
        <v>86845.01854146108</v>
      </c>
      <c r="BB6" s="10">
        <v>86845.01854146108</v>
      </c>
      <c r="BD6" s="9">
        <v>3414</v>
      </c>
      <c r="BE6" s="13">
        <v>6.886648503297088</v>
      </c>
      <c r="BF6" s="13">
        <v>23511.017990256256</v>
      </c>
      <c r="BG6" s="14">
        <v>0.0027664942423167495</v>
      </c>
      <c r="BM6" s="4">
        <v>173</v>
      </c>
      <c r="BN6" s="4">
        <v>27.333333333333343</v>
      </c>
      <c r="BO6" s="10">
        <v>61000</v>
      </c>
      <c r="BP6" s="10">
        <v>10136.333333333328</v>
      </c>
      <c r="BQ6" s="14">
        <v>0.11428868089650979</v>
      </c>
      <c r="BR6" s="14">
        <v>0.12051282051282045</v>
      </c>
      <c r="BS6" s="6">
        <v>0.060000000000000095</v>
      </c>
      <c r="BZ6" s="78"/>
      <c r="CA6" s="95"/>
    </row>
    <row r="7" spans="1:79" ht="15" hidden="1">
      <c r="A7" s="2" t="s">
        <v>55</v>
      </c>
      <c r="B7" s="15" t="s">
        <v>52</v>
      </c>
      <c r="C7" s="19">
        <v>1</v>
      </c>
      <c r="D7" s="23"/>
      <c r="E7" s="19"/>
      <c r="F7" s="23"/>
      <c r="G7" s="19"/>
      <c r="H7" s="18"/>
      <c r="I7" s="18"/>
      <c r="J7" s="18"/>
      <c r="L7" s="4">
        <v>140</v>
      </c>
      <c r="M7" s="3" t="s">
        <v>56</v>
      </c>
      <c r="O7" s="5">
        <v>1</v>
      </c>
      <c r="P7" s="6">
        <v>0.009038594799795128</v>
      </c>
      <c r="Q7" s="10">
        <v>1130.2340486929907</v>
      </c>
      <c r="R7" s="10">
        <v>5286.086589738184</v>
      </c>
      <c r="T7" s="10">
        <v>39558.30407441861</v>
      </c>
      <c r="U7" s="10">
        <v>4147.257590071019</v>
      </c>
      <c r="V7" s="10">
        <v>12218.035266963772</v>
      </c>
      <c r="W7" s="10">
        <v>-2691.6200082462556</v>
      </c>
      <c r="X7" s="10">
        <v>4461.3448348265565</v>
      </c>
      <c r="Y7" s="10">
        <v>0</v>
      </c>
      <c r="Z7" s="10">
        <v>8951.18702953098</v>
      </c>
      <c r="AB7" s="10">
        <v>36530.41471299793</v>
      </c>
      <c r="AC7" s="10">
        <v>48357.28514406068</v>
      </c>
      <c r="AD7" s="24">
        <v>84887.69985705861</v>
      </c>
      <c r="AE7" s="10"/>
      <c r="AF7" s="10">
        <v>83601.11993021012</v>
      </c>
      <c r="AG7" s="10">
        <v>79145.9086788585</v>
      </c>
      <c r="AH7" s="10">
        <v>78330.07195571755</v>
      </c>
      <c r="AI7" s="10">
        <v>84887.69985705861</v>
      </c>
      <c r="AJ7" s="10">
        <v>84887.69985705861</v>
      </c>
      <c r="AK7" s="10"/>
      <c r="AL7" s="10">
        <v>89997.42555555556</v>
      </c>
      <c r="AM7" s="10">
        <v>88742</v>
      </c>
      <c r="AN7" s="10">
        <v>87235</v>
      </c>
      <c r="AO7" s="10" t="s">
        <v>54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/>
      <c r="AV7" s="10">
        <v>87221.86666666667</v>
      </c>
      <c r="AW7" s="10">
        <v>87222</v>
      </c>
      <c r="AX7" s="10">
        <v>88742</v>
      </c>
      <c r="AY7" s="10">
        <v>88742</v>
      </c>
      <c r="AZ7" s="10">
        <v>88742</v>
      </c>
      <c r="BA7" s="10">
        <v>87235</v>
      </c>
      <c r="BB7" s="10">
        <v>87235</v>
      </c>
      <c r="BD7" s="9">
        <v>9896</v>
      </c>
      <c r="BE7" s="13">
        <v>5.277334697242359</v>
      </c>
      <c r="BF7" s="13">
        <v>52224.50416391038</v>
      </c>
      <c r="BG7" s="14">
        <v>0.006145152461589795</v>
      </c>
      <c r="BM7" s="4">
        <v>187</v>
      </c>
      <c r="BN7" s="4">
        <v>47</v>
      </c>
      <c r="BO7" s="10">
        <v>85000</v>
      </c>
      <c r="BP7" s="10">
        <v>2235</v>
      </c>
      <c r="BQ7" s="14">
        <v>0.017426795991836923</v>
      </c>
      <c r="BR7" s="14">
        <v>-0.16167664670658682</v>
      </c>
      <c r="BS7" s="6">
        <v>0</v>
      </c>
      <c r="BZ7" s="78"/>
      <c r="CA7" s="95"/>
    </row>
    <row r="8" spans="1:79" ht="15" hidden="1">
      <c r="A8" s="2" t="s">
        <v>57</v>
      </c>
      <c r="B8" s="15" t="s">
        <v>52</v>
      </c>
      <c r="C8" s="19">
        <v>3</v>
      </c>
      <c r="D8" s="23">
        <v>0.5</v>
      </c>
      <c r="E8" s="19"/>
      <c r="F8" s="23"/>
      <c r="G8" s="19">
        <v>1</v>
      </c>
      <c r="H8" s="18"/>
      <c r="I8" s="18"/>
      <c r="J8" s="18"/>
      <c r="L8" s="4">
        <v>500</v>
      </c>
      <c r="M8" s="3" t="s">
        <v>58</v>
      </c>
      <c r="O8" s="5">
        <v>3.05</v>
      </c>
      <c r="P8" s="6">
        <v>0.02756771413937514</v>
      </c>
      <c r="Q8" s="10">
        <v>3447.2138485136215</v>
      </c>
      <c r="R8" s="10">
        <v>16122.56409870146</v>
      </c>
      <c r="T8" s="10">
        <v>138454.06426046512</v>
      </c>
      <c r="U8" s="10">
        <v>14515.401565248567</v>
      </c>
      <c r="V8" s="10">
        <v>42763.12343437321</v>
      </c>
      <c r="W8" s="10">
        <v>-9420.670028861894</v>
      </c>
      <c r="X8" s="10">
        <v>20076.051756719502</v>
      </c>
      <c r="Y8" s="10">
        <v>0</v>
      </c>
      <c r="Z8" s="10">
        <v>26853.56108859294</v>
      </c>
      <c r="AB8" s="10">
        <v>126405.65501187625</v>
      </c>
      <c r="AC8" s="10">
        <v>172704.58980021675</v>
      </c>
      <c r="AD8" s="24">
        <v>299110.244812093</v>
      </c>
      <c r="AE8" s="10"/>
      <c r="AF8" s="10">
        <v>254519.9033399009</v>
      </c>
      <c r="AG8" s="10">
        <v>258725.21610210286</v>
      </c>
      <c r="AH8" s="10">
        <v>257815.46313180734</v>
      </c>
      <c r="AI8" s="10">
        <v>299110.244812093</v>
      </c>
      <c r="AJ8" s="10">
        <v>299110.244812093</v>
      </c>
      <c r="AK8" s="10"/>
      <c r="AL8" s="10">
        <v>187190.6164021111</v>
      </c>
      <c r="AM8" s="10">
        <v>216636.44</v>
      </c>
      <c r="AN8" s="10">
        <v>203970.47999999998</v>
      </c>
      <c r="AO8" s="10" t="s">
        <v>54</v>
      </c>
      <c r="AP8" s="10">
        <v>-63619.30413356758</v>
      </c>
      <c r="AQ8" s="10">
        <v>-54351.27610210286</v>
      </c>
      <c r="AR8" s="10">
        <v>-69475.61841209297</v>
      </c>
      <c r="AS8" s="10">
        <v>-46426.5861882795</v>
      </c>
      <c r="AT8" s="10">
        <v>-32528.984963969793</v>
      </c>
      <c r="AU8" s="10"/>
      <c r="AV8" s="10">
        <v>190900.5992063333</v>
      </c>
      <c r="AW8" s="10">
        <v>190901</v>
      </c>
      <c r="AX8" s="10">
        <v>216636.44</v>
      </c>
      <c r="AY8" s="10">
        <v>194618</v>
      </c>
      <c r="AZ8" s="10">
        <v>229634.6264</v>
      </c>
      <c r="BA8" s="10">
        <v>252683.65862381348</v>
      </c>
      <c r="BB8" s="10">
        <v>266581.2598481232</v>
      </c>
      <c r="BD8" s="9">
        <v>7092</v>
      </c>
      <c r="BE8" s="13">
        <v>21.633570648712954</v>
      </c>
      <c r="BF8" s="13">
        <v>153425.28304067228</v>
      </c>
      <c r="BG8" s="14">
        <v>0.018053244752470683</v>
      </c>
      <c r="BM8" s="4">
        <v>500</v>
      </c>
      <c r="BN8" s="4">
        <v>0</v>
      </c>
      <c r="BO8" s="10">
        <v>162125</v>
      </c>
      <c r="BP8" s="10">
        <v>41845.47999999998</v>
      </c>
      <c r="BQ8" s="14">
        <v>0.13481039910739076</v>
      </c>
      <c r="BR8" s="14">
        <v>0</v>
      </c>
      <c r="BS8" s="6">
        <v>0.060000000000000026</v>
      </c>
      <c r="BZ8" s="78"/>
      <c r="CA8" s="95"/>
    </row>
    <row r="9" spans="1:79" ht="15" hidden="1">
      <c r="A9" s="2" t="s">
        <v>59</v>
      </c>
      <c r="B9" s="15" t="s">
        <v>52</v>
      </c>
      <c r="C9" s="19">
        <v>1</v>
      </c>
      <c r="D9" s="23">
        <v>1</v>
      </c>
      <c r="E9" s="19"/>
      <c r="F9" s="23"/>
      <c r="G9" s="19"/>
      <c r="H9" s="18"/>
      <c r="I9" s="18"/>
      <c r="J9" s="18"/>
      <c r="L9" s="4"/>
      <c r="O9" s="5">
        <v>1</v>
      </c>
      <c r="P9" s="6">
        <v>0.009038594799795128</v>
      </c>
      <c r="Q9" s="10">
        <v>1130.2340486929907</v>
      </c>
      <c r="R9" s="10">
        <v>5286.086589738184</v>
      </c>
      <c r="T9" s="10">
        <v>79116.60814883721</v>
      </c>
      <c r="U9" s="10">
        <v>8294.515180142038</v>
      </c>
      <c r="V9" s="10">
        <v>24436.070533927545</v>
      </c>
      <c r="W9" s="10">
        <v>-5383.240016492511</v>
      </c>
      <c r="X9" s="10">
        <v>8922.689669653113</v>
      </c>
      <c r="Y9" s="10">
        <v>-50108</v>
      </c>
      <c r="Z9" s="10">
        <v>8951.18702953098</v>
      </c>
      <c r="AB9" s="10"/>
      <c r="AC9" s="10"/>
      <c r="AD9" s="24">
        <v>54219</v>
      </c>
      <c r="AE9" s="10"/>
      <c r="AF9" s="10"/>
      <c r="AG9" s="10"/>
      <c r="AH9" s="10"/>
      <c r="AI9" s="10">
        <v>54219</v>
      </c>
      <c r="AJ9" s="10"/>
      <c r="AK9" s="10"/>
      <c r="AL9" s="10"/>
      <c r="AM9" s="10">
        <v>48000</v>
      </c>
      <c r="AN9" s="10"/>
      <c r="AO9" s="10"/>
      <c r="AP9" s="10"/>
      <c r="AQ9" s="10"/>
      <c r="AR9" s="10">
        <v>-5115.000000000007</v>
      </c>
      <c r="AS9" s="10"/>
      <c r="AT9" s="10"/>
      <c r="AU9" s="10"/>
      <c r="AV9" s="10"/>
      <c r="AW9" s="10"/>
      <c r="AX9" s="10">
        <v>48000</v>
      </c>
      <c r="AY9" s="10">
        <v>48000</v>
      </c>
      <c r="AZ9" s="10">
        <v>49103.99999999999</v>
      </c>
      <c r="BA9" s="10"/>
      <c r="BB9" s="10"/>
      <c r="BD9" s="9"/>
      <c r="BE9" s="13"/>
      <c r="BF9" s="13"/>
      <c r="BG9" s="14"/>
      <c r="BM9" s="4"/>
      <c r="BN9" s="4"/>
      <c r="BO9" s="10"/>
      <c r="BP9" s="10"/>
      <c r="BQ9" s="14"/>
      <c r="BR9" s="14"/>
      <c r="BS9" s="6">
        <v>0.022999999999999847</v>
      </c>
      <c r="BZ9" s="78"/>
      <c r="CA9" s="95"/>
    </row>
    <row r="10" spans="1:79" ht="15" hidden="1">
      <c r="A10" s="2" t="s">
        <v>60</v>
      </c>
      <c r="B10" s="15" t="s">
        <v>52</v>
      </c>
      <c r="C10" s="19">
        <v>1</v>
      </c>
      <c r="D10" s="23"/>
      <c r="E10" s="19"/>
      <c r="F10" s="23"/>
      <c r="G10" s="19"/>
      <c r="H10" s="18"/>
      <c r="I10" s="18"/>
      <c r="J10" s="18"/>
      <c r="L10" s="4">
        <v>25.666666666666668</v>
      </c>
      <c r="M10" s="3" t="s">
        <v>61</v>
      </c>
      <c r="O10" s="5">
        <v>1</v>
      </c>
      <c r="P10" s="6">
        <v>0.009038594799795128</v>
      </c>
      <c r="Q10" s="10">
        <v>1130.2340486929907</v>
      </c>
      <c r="R10" s="10">
        <v>5286.086589738184</v>
      </c>
      <c r="T10" s="10">
        <v>39558.30407441861</v>
      </c>
      <c r="U10" s="10">
        <v>4147.257590071019</v>
      </c>
      <c r="V10" s="10">
        <v>12218.035266963772</v>
      </c>
      <c r="W10" s="10">
        <v>-2691.6200082462556</v>
      </c>
      <c r="X10" s="10">
        <v>4461.3448348265565</v>
      </c>
      <c r="Y10" s="10">
        <v>0</v>
      </c>
      <c r="Z10" s="10">
        <v>8951.18702953098</v>
      </c>
      <c r="AB10" s="10">
        <v>36530.41471299793</v>
      </c>
      <c r="AC10" s="10">
        <v>8865.502276411127</v>
      </c>
      <c r="AD10" s="24">
        <v>45395.91698940906</v>
      </c>
      <c r="AE10" s="10"/>
      <c r="AF10" s="10">
        <v>25810.80761020214</v>
      </c>
      <c r="AG10" s="10">
        <v>25306.507345343172</v>
      </c>
      <c r="AH10" s="10">
        <v>24302.718707231743</v>
      </c>
      <c r="AI10" s="10">
        <v>45395.91698940906</v>
      </c>
      <c r="AJ10" s="10">
        <v>45395.91698940906</v>
      </c>
      <c r="AK10" s="10"/>
      <c r="AL10" s="10">
        <v>18022.788666666664</v>
      </c>
      <c r="AM10" s="10">
        <v>17748</v>
      </c>
      <c r="AN10" s="10">
        <v>16747</v>
      </c>
      <c r="AO10" s="10" t="s">
        <v>62</v>
      </c>
      <c r="AP10" s="10">
        <v>-10060.501610202142</v>
      </c>
      <c r="AQ10" s="10">
        <v>-8564.007345343169</v>
      </c>
      <c r="AR10" s="10">
        <v>-26583.036989409058</v>
      </c>
      <c r="AS10" s="10">
        <v>-24649.320565392187</v>
      </c>
      <c r="AT10" s="10">
        <v>-23508.257762071262</v>
      </c>
      <c r="AU10" s="10"/>
      <c r="AV10" s="10">
        <v>15750.305999999999</v>
      </c>
      <c r="AW10" s="10">
        <v>15750</v>
      </c>
      <c r="AX10" s="10">
        <v>17748</v>
      </c>
      <c r="AY10" s="10">
        <v>10000</v>
      </c>
      <c r="AZ10" s="10">
        <v>18812.88</v>
      </c>
      <c r="BA10" s="10">
        <v>20746.596424016872</v>
      </c>
      <c r="BB10" s="10">
        <v>21887.659227337797</v>
      </c>
      <c r="BD10" s="9">
        <v>5450</v>
      </c>
      <c r="BE10" s="13">
        <v>26.112761152928215</v>
      </c>
      <c r="BF10" s="13">
        <v>142314.54828345877</v>
      </c>
      <c r="BG10" s="14">
        <v>0.016745866920235664</v>
      </c>
      <c r="BM10" s="4">
        <v>30</v>
      </c>
      <c r="BN10" s="4">
        <v>4.333333333333332</v>
      </c>
      <c r="BO10" s="10">
        <v>14500</v>
      </c>
      <c r="BP10" s="10">
        <v>2247</v>
      </c>
      <c r="BQ10" s="14">
        <v>0.12685714285714286</v>
      </c>
      <c r="BR10" s="14">
        <v>-0.1444444444444444</v>
      </c>
      <c r="BS10" s="6">
        <v>0.06000000000000006</v>
      </c>
      <c r="BZ10" s="78"/>
      <c r="CA10" s="95"/>
    </row>
    <row r="11" spans="1:79" ht="15" hidden="1">
      <c r="A11" s="2" t="s">
        <v>63</v>
      </c>
      <c r="B11" s="15" t="s">
        <v>52</v>
      </c>
      <c r="C11" s="19">
        <v>1</v>
      </c>
      <c r="D11" s="23">
        <v>1</v>
      </c>
      <c r="E11" s="19"/>
      <c r="F11" s="23"/>
      <c r="G11" s="19"/>
      <c r="H11" s="18"/>
      <c r="I11" s="18"/>
      <c r="J11" s="18"/>
      <c r="L11" s="4">
        <v>187</v>
      </c>
      <c r="M11" s="3" t="s">
        <v>64</v>
      </c>
      <c r="O11" s="5">
        <v>1</v>
      </c>
      <c r="P11" s="6">
        <v>0.009038594799795128</v>
      </c>
      <c r="Q11" s="10">
        <v>1130.2340486929907</v>
      </c>
      <c r="R11" s="10">
        <v>5286.086589738184</v>
      </c>
      <c r="T11" s="10">
        <v>79116.60814883721</v>
      </c>
      <c r="U11" s="10">
        <v>8294.515180142038</v>
      </c>
      <c r="V11" s="10">
        <v>24436.070533927545</v>
      </c>
      <c r="W11" s="10">
        <v>-5383.240016492511</v>
      </c>
      <c r="X11" s="10">
        <v>8922.689669653113</v>
      </c>
      <c r="Y11" s="10">
        <v>-50108</v>
      </c>
      <c r="Z11" s="10">
        <v>8951.18702953098</v>
      </c>
      <c r="AB11" s="10">
        <v>40323.075592014786</v>
      </c>
      <c r="AC11" s="10">
        <v>64591.51658528106</v>
      </c>
      <c r="AD11" s="24">
        <v>104914.59217729585</v>
      </c>
      <c r="AE11" s="10"/>
      <c r="AF11" s="10">
        <v>93463.50104124172</v>
      </c>
      <c r="AG11" s="10">
        <v>98074.02185435708</v>
      </c>
      <c r="AH11" s="10">
        <v>97758.51029311649</v>
      </c>
      <c r="AI11" s="10">
        <v>104914.59217729585</v>
      </c>
      <c r="AJ11" s="10">
        <v>104914.59217729585</v>
      </c>
      <c r="AK11" s="10"/>
      <c r="AL11" s="10">
        <v>91361.43368041392</v>
      </c>
      <c r="AM11" s="10">
        <v>97667</v>
      </c>
      <c r="AN11" s="10">
        <v>96200.66666666667</v>
      </c>
      <c r="AO11" s="10" t="s">
        <v>54</v>
      </c>
      <c r="AP11" s="10">
        <v>0</v>
      </c>
      <c r="AQ11" s="10">
        <v>0</v>
      </c>
      <c r="AR11" s="10">
        <v>-1387.5721772958495</v>
      </c>
      <c r="AS11" s="10">
        <v>0</v>
      </c>
      <c r="AT11" s="10">
        <v>0</v>
      </c>
      <c r="AU11" s="10"/>
      <c r="AV11" s="10">
        <v>93463.50104124172</v>
      </c>
      <c r="AW11" s="10">
        <v>93464</v>
      </c>
      <c r="AX11" s="10">
        <v>97667</v>
      </c>
      <c r="AY11" s="10">
        <v>97667</v>
      </c>
      <c r="AZ11" s="10">
        <v>103527.02</v>
      </c>
      <c r="BA11" s="10">
        <v>104914.59217729585</v>
      </c>
      <c r="BB11" s="10">
        <v>104914.59217729585</v>
      </c>
      <c r="BD11" s="9">
        <v>5946</v>
      </c>
      <c r="BE11" s="13">
        <v>17.035855531383653</v>
      </c>
      <c r="BF11" s="13">
        <v>101295.1969896072</v>
      </c>
      <c r="BG11" s="14">
        <v>0.011919202280489384</v>
      </c>
      <c r="BM11" s="4">
        <v>265</v>
      </c>
      <c r="BN11" s="4">
        <v>78</v>
      </c>
      <c r="BO11" s="10">
        <v>87000</v>
      </c>
      <c r="BP11" s="10">
        <v>9200.666666666672</v>
      </c>
      <c r="BQ11" s="14">
        <v>0.04496918599674741</v>
      </c>
      <c r="BR11" s="14">
        <v>-0.065</v>
      </c>
      <c r="BS11" s="6">
        <v>0.06000000000000004</v>
      </c>
      <c r="BZ11" s="78"/>
      <c r="CA11" s="95"/>
    </row>
    <row r="12" spans="1:79" ht="15" hidden="1">
      <c r="A12" s="2" t="s">
        <v>65</v>
      </c>
      <c r="B12" s="15" t="s">
        <v>52</v>
      </c>
      <c r="C12" s="19">
        <v>2</v>
      </c>
      <c r="D12" s="23"/>
      <c r="E12" s="19"/>
      <c r="F12" s="23"/>
      <c r="G12" s="19">
        <v>1</v>
      </c>
      <c r="H12" s="18"/>
      <c r="I12" s="18"/>
      <c r="J12" s="18"/>
      <c r="L12" s="4">
        <v>331.66666666666663</v>
      </c>
      <c r="M12" s="3" t="s">
        <v>66</v>
      </c>
      <c r="O12" s="5">
        <v>2.05</v>
      </c>
      <c r="P12" s="6">
        <v>0.01852911933958001</v>
      </c>
      <c r="Q12" s="10">
        <v>2316.9797998206304</v>
      </c>
      <c r="R12" s="10">
        <v>10836.477508963275</v>
      </c>
      <c r="T12" s="10">
        <v>79116.60814883721</v>
      </c>
      <c r="U12" s="10">
        <v>8294.515180142038</v>
      </c>
      <c r="V12" s="10">
        <v>24436.070533927545</v>
      </c>
      <c r="W12" s="10">
        <v>-5383.240016492511</v>
      </c>
      <c r="X12" s="10">
        <v>13384.034504479667</v>
      </c>
      <c r="Y12" s="10">
        <v>0</v>
      </c>
      <c r="Z12" s="10">
        <v>17902.37405906196</v>
      </c>
      <c r="AB12" s="10">
        <v>75451.90985936992</v>
      </c>
      <c r="AC12" s="10">
        <v>114560.71123414376</v>
      </c>
      <c r="AD12" s="24">
        <v>190012.62109351368</v>
      </c>
      <c r="AE12" s="10"/>
      <c r="AF12" s="10">
        <v>176729.85484001157</v>
      </c>
      <c r="AG12" s="10">
        <v>179526.01204604414</v>
      </c>
      <c r="AH12" s="10">
        <v>172527.04780890877</v>
      </c>
      <c r="AI12" s="10">
        <v>190012.62109351368</v>
      </c>
      <c r="AJ12" s="10">
        <v>190012.62109351368</v>
      </c>
      <c r="AK12" s="10"/>
      <c r="AL12" s="10">
        <v>170679.76272222222</v>
      </c>
      <c r="AM12" s="10">
        <v>179175</v>
      </c>
      <c r="AN12" s="10">
        <v>172282.66666666666</v>
      </c>
      <c r="AO12" s="10" t="s">
        <v>54</v>
      </c>
      <c r="AP12" s="10">
        <v>-12172.39667334492</v>
      </c>
      <c r="AQ12" s="10">
        <v>-6410.412046044134</v>
      </c>
      <c r="AR12" s="10">
        <v>-87.1210935136769</v>
      </c>
      <c r="AS12" s="10">
        <v>0</v>
      </c>
      <c r="AT12" s="10">
        <v>0</v>
      </c>
      <c r="AU12" s="10"/>
      <c r="AV12" s="10">
        <v>164557.45816666665</v>
      </c>
      <c r="AW12" s="10">
        <v>164557</v>
      </c>
      <c r="AX12" s="10">
        <v>179175</v>
      </c>
      <c r="AY12" s="10">
        <v>179175</v>
      </c>
      <c r="AZ12" s="10">
        <v>189925.5</v>
      </c>
      <c r="BA12" s="10">
        <v>190012.62109351368</v>
      </c>
      <c r="BB12" s="10">
        <v>190012.62109351368</v>
      </c>
      <c r="BD12" s="9">
        <v>11140</v>
      </c>
      <c r="BE12" s="13">
        <v>14.320915619389588</v>
      </c>
      <c r="BF12" s="13">
        <v>159535</v>
      </c>
      <c r="BG12" s="14">
        <v>0.018772162869804866</v>
      </c>
      <c r="BM12" s="4">
        <v>421</v>
      </c>
      <c r="BN12" s="4">
        <v>89.33333333333337</v>
      </c>
      <c r="BO12" s="10">
        <v>148000</v>
      </c>
      <c r="BP12" s="10">
        <v>24282.666666666657</v>
      </c>
      <c r="BQ12" s="14">
        <v>0.08883244103866746</v>
      </c>
      <c r="BR12" s="14">
        <v>-0.04234841193455267</v>
      </c>
      <c r="BS12" s="6">
        <v>0.06</v>
      </c>
      <c r="BZ12" s="78"/>
      <c r="CA12" s="95"/>
    </row>
    <row r="13" spans="1:79" ht="15" hidden="1">
      <c r="A13" s="2" t="s">
        <v>67</v>
      </c>
      <c r="B13" s="15" t="s">
        <v>52</v>
      </c>
      <c r="C13" s="19">
        <v>3</v>
      </c>
      <c r="D13" s="23"/>
      <c r="E13" s="19"/>
      <c r="F13" s="23"/>
      <c r="G13" s="19">
        <v>1</v>
      </c>
      <c r="H13" s="18"/>
      <c r="I13" s="18"/>
      <c r="J13" s="18"/>
      <c r="L13" s="4">
        <v>345.99999999999994</v>
      </c>
      <c r="M13" s="3" t="s">
        <v>68</v>
      </c>
      <c r="O13" s="5">
        <v>3.05</v>
      </c>
      <c r="P13" s="6">
        <v>0.02756771413937514</v>
      </c>
      <c r="Q13" s="10">
        <v>3447.2138485136215</v>
      </c>
      <c r="R13" s="10">
        <v>16122.56409870146</v>
      </c>
      <c r="T13" s="10">
        <v>118674.91222325581</v>
      </c>
      <c r="U13" s="10">
        <v>12441.772770213056</v>
      </c>
      <c r="V13" s="10">
        <v>36654.10580089132</v>
      </c>
      <c r="W13" s="10">
        <v>-8074.860024738765</v>
      </c>
      <c r="X13" s="10">
        <v>17845.379339306226</v>
      </c>
      <c r="Y13" s="10">
        <v>0</v>
      </c>
      <c r="Z13" s="10">
        <v>26853.56108859294</v>
      </c>
      <c r="AB13" s="10">
        <v>111982.32457236784</v>
      </c>
      <c r="AC13" s="10">
        <v>119511.57614174997</v>
      </c>
      <c r="AD13" s="24">
        <v>231493.9007141178</v>
      </c>
      <c r="AE13" s="10"/>
      <c r="AF13" s="10">
        <v>193948.13117927173</v>
      </c>
      <c r="AG13" s="10">
        <v>193261.44868952347</v>
      </c>
      <c r="AH13" s="10">
        <v>206677.35472728295</v>
      </c>
      <c r="AI13" s="10">
        <v>231493.9007141178</v>
      </c>
      <c r="AJ13" s="10">
        <v>231493.9007141178</v>
      </c>
      <c r="AK13" s="10"/>
      <c r="AL13" s="10">
        <v>181557.64227777778</v>
      </c>
      <c r="AM13" s="10">
        <v>201027</v>
      </c>
      <c r="AN13" s="10">
        <v>190285</v>
      </c>
      <c r="AO13" s="10" t="s">
        <v>54</v>
      </c>
      <c r="AP13" s="10">
        <v>-13768.514345938398</v>
      </c>
      <c r="AQ13" s="10">
        <v>-3222.048689523479</v>
      </c>
      <c r="AR13" s="10">
        <v>-18405.280714117776</v>
      </c>
      <c r="AS13" s="10">
        <v>0</v>
      </c>
      <c r="AT13" s="10">
        <v>0</v>
      </c>
      <c r="AU13" s="10"/>
      <c r="AV13" s="10">
        <v>180179.61683333333</v>
      </c>
      <c r="AW13" s="10">
        <v>180180</v>
      </c>
      <c r="AX13" s="10">
        <v>201027</v>
      </c>
      <c r="AY13" s="10">
        <v>192027</v>
      </c>
      <c r="AZ13" s="10">
        <v>213088.62000000002</v>
      </c>
      <c r="BA13" s="10">
        <v>231493.9007141178</v>
      </c>
      <c r="BB13" s="10">
        <v>231493.9007141178</v>
      </c>
      <c r="BD13" s="9">
        <v>20253</v>
      </c>
      <c r="BE13" s="13">
        <v>15.01338532912398</v>
      </c>
      <c r="BF13" s="13">
        <v>304066.093070748</v>
      </c>
      <c r="BG13" s="14">
        <v>0.03577884616108895</v>
      </c>
      <c r="BM13" s="4">
        <v>261</v>
      </c>
      <c r="BN13" s="4">
        <v>-84.99999999999994</v>
      </c>
      <c r="BO13" s="10">
        <v>159200</v>
      </c>
      <c r="BP13" s="10">
        <v>31085</v>
      </c>
      <c r="BQ13" s="14">
        <v>0.1157009657009657</v>
      </c>
      <c r="BR13" s="14">
        <v>0.16367713004484294</v>
      </c>
      <c r="BS13" s="6">
        <v>0.06000000000000012</v>
      </c>
      <c r="BZ13" s="78"/>
      <c r="CA13" s="95"/>
    </row>
    <row r="14" spans="1:79" ht="15" hidden="1">
      <c r="A14" s="2" t="s">
        <v>69</v>
      </c>
      <c r="B14" s="15" t="s">
        <v>52</v>
      </c>
      <c r="C14" s="19">
        <v>2.3</v>
      </c>
      <c r="D14" s="23">
        <v>1</v>
      </c>
      <c r="E14" s="19"/>
      <c r="F14" s="23"/>
      <c r="G14" s="19">
        <v>1</v>
      </c>
      <c r="H14" s="18"/>
      <c r="I14" s="18"/>
      <c r="J14" s="18"/>
      <c r="L14" s="4">
        <v>389.33333333333337</v>
      </c>
      <c r="M14" s="3" t="s">
        <v>70</v>
      </c>
      <c r="O14" s="5">
        <v>2.3499999999999996</v>
      </c>
      <c r="P14" s="6">
        <v>0.02124069777951855</v>
      </c>
      <c r="Q14" s="10">
        <v>2656.050014428528</v>
      </c>
      <c r="R14" s="10">
        <v>12422.303485884731</v>
      </c>
      <c r="T14" s="10">
        <v>130542.4034455814</v>
      </c>
      <c r="U14" s="10">
        <v>13685.95004723436</v>
      </c>
      <c r="V14" s="10">
        <v>40319.51638098045</v>
      </c>
      <c r="W14" s="10">
        <v>-8882.346027212641</v>
      </c>
      <c r="X14" s="10">
        <v>19183.78278975419</v>
      </c>
      <c r="Y14" s="10">
        <v>-50108</v>
      </c>
      <c r="Z14" s="10">
        <v>20587.730167921254</v>
      </c>
      <c r="AB14" s="10">
        <v>90203.69515228613</v>
      </c>
      <c r="AC14" s="10">
        <v>134479.30725776879</v>
      </c>
      <c r="AD14" s="24">
        <v>224683.0024100549</v>
      </c>
      <c r="AE14" s="10"/>
      <c r="AF14" s="10">
        <v>202741.3798607213</v>
      </c>
      <c r="AG14" s="10">
        <v>216624.2860393287</v>
      </c>
      <c r="AH14" s="10">
        <v>206961.4628437771</v>
      </c>
      <c r="AI14" s="10">
        <v>224683.0024100549</v>
      </c>
      <c r="AJ14" s="10">
        <v>224683.0024100549</v>
      </c>
      <c r="AK14" s="10"/>
      <c r="AL14" s="10">
        <v>211628.3632869071</v>
      </c>
      <c r="AM14" s="10">
        <v>224777</v>
      </c>
      <c r="AN14" s="10">
        <v>214898</v>
      </c>
      <c r="AO14" s="10" t="s">
        <v>54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/>
      <c r="AV14" s="10">
        <v>202741.3798607213</v>
      </c>
      <c r="AW14" s="10">
        <v>202741</v>
      </c>
      <c r="AX14" s="10">
        <v>224777</v>
      </c>
      <c r="AY14" s="10">
        <v>224777</v>
      </c>
      <c r="AZ14" s="10">
        <v>224777</v>
      </c>
      <c r="BA14" s="10">
        <v>224683.0024100549</v>
      </c>
      <c r="BB14" s="10">
        <v>224683.0024100549</v>
      </c>
      <c r="BD14" s="9">
        <v>19297</v>
      </c>
      <c r="BE14" s="13">
        <v>5.784624265652756</v>
      </c>
      <c r="BF14" s="13">
        <v>111625.89445430123</v>
      </c>
      <c r="BG14" s="14">
        <v>0.013134794691972235</v>
      </c>
      <c r="BM14" s="4">
        <v>472</v>
      </c>
      <c r="BN14" s="4">
        <v>82.66666666666663</v>
      </c>
      <c r="BO14" s="10">
        <v>198000</v>
      </c>
      <c r="BP14" s="10">
        <v>16898</v>
      </c>
      <c r="BQ14" s="14">
        <v>0.10869039809412008</v>
      </c>
      <c r="BR14" s="14">
        <v>-0.0012825994014536125</v>
      </c>
      <c r="BS14" s="6">
        <v>0</v>
      </c>
      <c r="BZ14" s="78"/>
      <c r="CA14" s="95"/>
    </row>
    <row r="15" spans="1:79" ht="15" hidden="1">
      <c r="A15" s="2" t="s">
        <v>71</v>
      </c>
      <c r="B15" s="15" t="s">
        <v>52</v>
      </c>
      <c r="C15" s="19">
        <v>1</v>
      </c>
      <c r="D15" s="23"/>
      <c r="E15" s="19"/>
      <c r="F15" s="23"/>
      <c r="G15" s="19"/>
      <c r="H15" s="18"/>
      <c r="I15" s="18"/>
      <c r="J15" s="18"/>
      <c r="L15" s="4">
        <v>69.66666666666667</v>
      </c>
      <c r="M15" s="3" t="s">
        <v>72</v>
      </c>
      <c r="O15" s="5">
        <v>1</v>
      </c>
      <c r="P15" s="6">
        <v>0.009038594799795128</v>
      </c>
      <c r="Q15" s="10">
        <v>1130.2340486929907</v>
      </c>
      <c r="R15" s="10">
        <v>5286.086589738184</v>
      </c>
      <c r="T15" s="10">
        <v>39558.30407441861</v>
      </c>
      <c r="U15" s="10">
        <v>4147.257590071019</v>
      </c>
      <c r="V15" s="10">
        <v>12218.035266963772</v>
      </c>
      <c r="W15" s="10">
        <v>-2691.6200082462556</v>
      </c>
      <c r="X15" s="10">
        <v>4461.3448348265565</v>
      </c>
      <c r="Y15" s="10">
        <v>0</v>
      </c>
      <c r="Z15" s="10">
        <v>8951.18702953098</v>
      </c>
      <c r="AB15" s="10">
        <v>36530.41471299793</v>
      </c>
      <c r="AC15" s="10">
        <v>24063.5061788302</v>
      </c>
      <c r="AD15" s="24">
        <v>60593.92089182814</v>
      </c>
      <c r="AE15" s="10"/>
      <c r="AF15" s="10">
        <v>56104.72335729295</v>
      </c>
      <c r="AG15" s="10">
        <v>56582.66272367272</v>
      </c>
      <c r="AH15" s="10">
        <v>55527.612581604844</v>
      </c>
      <c r="AI15" s="10">
        <v>60593.92089182814</v>
      </c>
      <c r="AJ15" s="10">
        <v>60593.92089182814</v>
      </c>
      <c r="AK15" s="10"/>
      <c r="AL15" s="10">
        <v>60199.05222222223</v>
      </c>
      <c r="AM15" s="10">
        <v>61364</v>
      </c>
      <c r="AN15" s="10">
        <v>60135.666666666664</v>
      </c>
      <c r="AO15" s="10" t="s">
        <v>62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/>
      <c r="AV15" s="10">
        <v>59754.46666666667</v>
      </c>
      <c r="AW15" s="10">
        <v>59754</v>
      </c>
      <c r="AX15" s="10">
        <v>61364</v>
      </c>
      <c r="AY15" s="10">
        <v>61364</v>
      </c>
      <c r="AZ15" s="10">
        <v>61364</v>
      </c>
      <c r="BA15" s="10">
        <v>60593.92089182814</v>
      </c>
      <c r="BB15" s="10">
        <v>60593.92089182814</v>
      </c>
      <c r="BD15" s="9">
        <v>7320</v>
      </c>
      <c r="BE15" s="13">
        <v>7.477892846174823</v>
      </c>
      <c r="BF15" s="13">
        <v>54738.17563399971</v>
      </c>
      <c r="BG15" s="14">
        <v>0.006440931132337272</v>
      </c>
      <c r="BM15" s="4">
        <v>85</v>
      </c>
      <c r="BN15" s="4">
        <v>15.333333333333329</v>
      </c>
      <c r="BO15" s="10">
        <v>58200</v>
      </c>
      <c r="BP15" s="10">
        <v>1935.6666666666642</v>
      </c>
      <c r="BQ15" s="14">
        <v>0.026943802925327175</v>
      </c>
      <c r="BR15" s="14">
        <v>-0.07111111111111104</v>
      </c>
      <c r="BS15" s="6">
        <v>0</v>
      </c>
      <c r="BZ15" s="78"/>
      <c r="CA15" s="95"/>
    </row>
    <row r="16" spans="1:79" ht="15" hidden="1">
      <c r="A16" s="2" t="s">
        <v>73</v>
      </c>
      <c r="B16" s="15" t="s">
        <v>52</v>
      </c>
      <c r="C16" s="19">
        <v>3</v>
      </c>
      <c r="D16" s="23"/>
      <c r="E16" s="19"/>
      <c r="F16" s="23"/>
      <c r="G16" s="19"/>
      <c r="H16" s="18"/>
      <c r="I16" s="18"/>
      <c r="J16" s="18"/>
      <c r="L16" s="4">
        <v>200</v>
      </c>
      <c r="M16" s="3" t="s">
        <v>74</v>
      </c>
      <c r="O16" s="5">
        <v>3</v>
      </c>
      <c r="P16" s="6">
        <v>0.027115784399385386</v>
      </c>
      <c r="Q16" s="10">
        <v>3390.7021460789724</v>
      </c>
      <c r="R16" s="10">
        <v>15858.259769214552</v>
      </c>
      <c r="T16" s="10">
        <v>118674.91222325581</v>
      </c>
      <c r="U16" s="10">
        <v>12441.772770213056</v>
      </c>
      <c r="V16" s="10">
        <v>36654.10580089132</v>
      </c>
      <c r="W16" s="10">
        <v>-8074.860024738765</v>
      </c>
      <c r="X16" s="10">
        <v>13384.034504479667</v>
      </c>
      <c r="Y16" s="10">
        <v>0</v>
      </c>
      <c r="Z16" s="10">
        <v>26853.56108859294</v>
      </c>
      <c r="AB16" s="10">
        <v>109591.24413899379</v>
      </c>
      <c r="AC16" s="10">
        <v>69081.8359200867</v>
      </c>
      <c r="AD16" s="24">
        <v>178673.0800590805</v>
      </c>
      <c r="AE16" s="10"/>
      <c r="AF16" s="10">
        <v>172812.20963560767</v>
      </c>
      <c r="AG16" s="10">
        <v>172065.67530370422</v>
      </c>
      <c r="AH16" s="10">
        <v>167702.60137479327</v>
      </c>
      <c r="AI16" s="10">
        <v>178673.0800590805</v>
      </c>
      <c r="AJ16" s="10">
        <v>178673.0800590805</v>
      </c>
      <c r="AK16" s="10"/>
      <c r="AL16" s="10">
        <v>132990.54344444445</v>
      </c>
      <c r="AM16" s="10">
        <v>145037</v>
      </c>
      <c r="AN16" s="10">
        <v>137189.33333333334</v>
      </c>
      <c r="AO16" s="10" t="s">
        <v>62</v>
      </c>
      <c r="AP16" s="10">
        <v>-43108.329302274346</v>
      </c>
      <c r="AQ16" s="10">
        <v>-35238.19530370421</v>
      </c>
      <c r="AR16" s="10">
        <v>-24933.8600590805</v>
      </c>
      <c r="AS16" s="10">
        <v>-8719.552122937195</v>
      </c>
      <c r="AT16" s="10">
        <v>0</v>
      </c>
      <c r="AU16" s="10"/>
      <c r="AV16" s="10">
        <v>129703.88033333332</v>
      </c>
      <c r="AW16" s="10">
        <v>129704</v>
      </c>
      <c r="AX16" s="10">
        <v>145037</v>
      </c>
      <c r="AY16" s="10">
        <v>112037</v>
      </c>
      <c r="AZ16" s="10">
        <v>153739.22</v>
      </c>
      <c r="BA16" s="10">
        <v>169953.5279361433</v>
      </c>
      <c r="BB16" s="10">
        <v>178673.0800590805</v>
      </c>
      <c r="BD16" s="9">
        <v>27217</v>
      </c>
      <c r="BE16" s="13">
        <v>25.26198433247737</v>
      </c>
      <c r="BF16" s="13">
        <v>687555.4275770365</v>
      </c>
      <c r="BG16" s="14">
        <v>0.08090326554357635</v>
      </c>
      <c r="BM16" s="4">
        <v>300</v>
      </c>
      <c r="BN16" s="4">
        <v>100</v>
      </c>
      <c r="BO16" s="10">
        <v>118000</v>
      </c>
      <c r="BP16" s="10">
        <v>19189.333333333343</v>
      </c>
      <c r="BQ16" s="14">
        <v>0.11821532103867267</v>
      </c>
      <c r="BR16" s="14">
        <v>-0.1428571428571429</v>
      </c>
      <c r="BS16" s="6">
        <v>0.060000000000000005</v>
      </c>
      <c r="BZ16" s="78"/>
      <c r="CA16" s="95"/>
    </row>
    <row r="17" spans="1:79" ht="15" hidden="1">
      <c r="A17" s="2" t="s">
        <v>75</v>
      </c>
      <c r="B17" s="15" t="s">
        <v>76</v>
      </c>
      <c r="C17" s="21"/>
      <c r="D17" s="23"/>
      <c r="E17" s="21">
        <v>1</v>
      </c>
      <c r="F17" s="23"/>
      <c r="G17" s="19"/>
      <c r="H17" s="18"/>
      <c r="I17" s="18"/>
      <c r="J17" s="18"/>
      <c r="L17" s="4">
        <v>33</v>
      </c>
      <c r="M17" s="3" t="s">
        <v>77</v>
      </c>
      <c r="O17" s="5">
        <v>0.3333333333333333</v>
      </c>
      <c r="P17" s="6">
        <v>0.0030128649332650426</v>
      </c>
      <c r="Q17" s="10">
        <v>376.74468289766355</v>
      </c>
      <c r="R17" s="10">
        <v>1762.0288632460613</v>
      </c>
      <c r="T17" s="10">
        <v>0</v>
      </c>
      <c r="U17" s="10">
        <v>4147.257590071019</v>
      </c>
      <c r="V17" s="10">
        <v>12218.035266963772</v>
      </c>
      <c r="W17" s="10">
        <v>-787.6666042922137</v>
      </c>
      <c r="X17" s="10">
        <v>4461.3448348265565</v>
      </c>
      <c r="Y17" s="10">
        <v>0</v>
      </c>
      <c r="Z17" s="10">
        <v>0</v>
      </c>
      <c r="AB17" s="10">
        <v>11088.872316856428</v>
      </c>
      <c r="AC17" s="10">
        <v>11398.502926814304</v>
      </c>
      <c r="AD17" s="24">
        <v>22487.375243670733</v>
      </c>
      <c r="AE17" s="10"/>
      <c r="AF17" s="10">
        <v>23756.277473564583</v>
      </c>
      <c r="AG17" s="10">
        <v>22602.22541913184</v>
      </c>
      <c r="AH17" s="10">
        <v>20548.472503235356</v>
      </c>
      <c r="AI17" s="10">
        <v>22487.375243670733</v>
      </c>
      <c r="AJ17" s="10">
        <v>22487.375243670733</v>
      </c>
      <c r="AK17" s="10"/>
      <c r="AL17" s="10">
        <v>15079.613333333333</v>
      </c>
      <c r="AM17" s="10">
        <v>19536.86</v>
      </c>
      <c r="AN17" s="10">
        <v>18135.62</v>
      </c>
      <c r="AO17" s="10" t="s">
        <v>54</v>
      </c>
      <c r="AP17" s="10">
        <v>-7317.267473564585</v>
      </c>
      <c r="AQ17" s="10">
        <v>-4171.415419131838</v>
      </c>
      <c r="AR17" s="10">
        <v>-1778.3036436707298</v>
      </c>
      <c r="AS17" s="10">
        <v>-20.522133302976727</v>
      </c>
      <c r="AT17" s="10">
        <v>0</v>
      </c>
      <c r="AU17" s="10"/>
      <c r="AV17" s="10">
        <v>16439.01</v>
      </c>
      <c r="AW17" s="10">
        <v>16439</v>
      </c>
      <c r="AX17" s="10">
        <v>19536.86</v>
      </c>
      <c r="AY17" s="10">
        <v>19280</v>
      </c>
      <c r="AZ17" s="10">
        <v>20709.071600000003</v>
      </c>
      <c r="BA17" s="10">
        <v>22466.853110367756</v>
      </c>
      <c r="BB17" s="10">
        <v>22487.375243670733</v>
      </c>
      <c r="BD17" s="9">
        <v>7699</v>
      </c>
      <c r="BE17" s="13">
        <v>12.746625981217163</v>
      </c>
      <c r="BF17" s="13">
        <v>98136.27342939093</v>
      </c>
      <c r="BG17" s="14">
        <v>0.011547498092908955</v>
      </c>
      <c r="BM17" s="4">
        <v>214</v>
      </c>
      <c r="BN17" s="4">
        <v>181</v>
      </c>
      <c r="BO17" s="10">
        <v>77478</v>
      </c>
      <c r="BP17" s="10">
        <v>-59342.380000000005</v>
      </c>
      <c r="BQ17" s="14">
        <v>0.18844576920737274</v>
      </c>
      <c r="BR17" s="14">
        <v>-0.25</v>
      </c>
      <c r="BS17" s="7">
        <v>0.060000000000000116</v>
      </c>
      <c r="BZ17" s="78"/>
      <c r="CA17" s="95"/>
    </row>
    <row r="18" spans="1:79" ht="30" hidden="1">
      <c r="A18" s="2" t="s">
        <v>78</v>
      </c>
      <c r="B18" s="15" t="s">
        <v>76</v>
      </c>
      <c r="C18" s="19">
        <v>1</v>
      </c>
      <c r="D18" s="23"/>
      <c r="E18" s="19"/>
      <c r="F18" s="23"/>
      <c r="G18" s="19"/>
      <c r="H18" s="18"/>
      <c r="I18" s="18"/>
      <c r="J18" s="18"/>
      <c r="L18" s="4">
        <v>98.33333333333333</v>
      </c>
      <c r="M18" s="3" t="s">
        <v>79</v>
      </c>
      <c r="O18" s="5">
        <v>1</v>
      </c>
      <c r="P18" s="6">
        <v>0.009038594799795128</v>
      </c>
      <c r="Q18" s="10">
        <v>1130.2340486929907</v>
      </c>
      <c r="R18" s="10">
        <v>5286.086589738184</v>
      </c>
      <c r="T18" s="10">
        <v>39558.30407441861</v>
      </c>
      <c r="U18" s="10">
        <v>4147.257590071019</v>
      </c>
      <c r="V18" s="10">
        <v>12218.035266963772</v>
      </c>
      <c r="W18" s="10">
        <v>-2691.6200082462556</v>
      </c>
      <c r="X18" s="10">
        <v>4461.3448348265565</v>
      </c>
      <c r="Y18" s="10">
        <v>0</v>
      </c>
      <c r="Z18" s="10">
        <v>8951.18702953098</v>
      </c>
      <c r="AB18" s="10">
        <v>36530.41471299793</v>
      </c>
      <c r="AC18" s="10">
        <v>33965.235994042625</v>
      </c>
      <c r="AD18" s="24">
        <v>70495.65070704056</v>
      </c>
      <c r="AE18" s="10"/>
      <c r="AF18" s="10">
        <v>64588.03271199703</v>
      </c>
      <c r="AG18" s="10">
        <v>68744.11488346683</v>
      </c>
      <c r="AH18" s="10">
        <v>66521.65549412346</v>
      </c>
      <c r="AI18" s="10">
        <v>70495.65070704056</v>
      </c>
      <c r="AJ18" s="10">
        <v>70495.65070704056</v>
      </c>
      <c r="AK18" s="10"/>
      <c r="AL18" s="10">
        <v>64676.04423733234</v>
      </c>
      <c r="AM18" s="10">
        <v>71185.23</v>
      </c>
      <c r="AN18" s="10">
        <v>68183.74333333333</v>
      </c>
      <c r="AO18" s="10" t="s">
        <v>62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/>
      <c r="AV18" s="10">
        <v>64588.03271199703</v>
      </c>
      <c r="AW18" s="10">
        <v>64588</v>
      </c>
      <c r="AX18" s="10">
        <v>71185.23</v>
      </c>
      <c r="AY18" s="10">
        <v>70249</v>
      </c>
      <c r="AZ18" s="10">
        <v>71185.23</v>
      </c>
      <c r="BA18" s="10">
        <v>70495.65070704056</v>
      </c>
      <c r="BB18" s="10">
        <v>70495.65070704056</v>
      </c>
      <c r="BD18" s="9">
        <v>1876</v>
      </c>
      <c r="BE18" s="13">
        <v>13.001428571428573</v>
      </c>
      <c r="BF18" s="13">
        <v>24390.680000000004</v>
      </c>
      <c r="BG18" s="14">
        <v>0.0028700023033521936</v>
      </c>
      <c r="BM18" s="4">
        <v>121</v>
      </c>
      <c r="BN18" s="4">
        <v>22.66666666666667</v>
      </c>
      <c r="BO18" s="10">
        <v>61117</v>
      </c>
      <c r="BP18" s="10">
        <v>7066.743333333332</v>
      </c>
      <c r="BQ18" s="14">
        <v>0.10214327738898861</v>
      </c>
      <c r="BR18" s="14">
        <v>0.01724137931034488</v>
      </c>
      <c r="BS18" s="7">
        <v>0</v>
      </c>
      <c r="BZ18" s="78"/>
      <c r="CA18" s="95"/>
    </row>
    <row r="19" spans="1:79" ht="15" hidden="1">
      <c r="A19" s="2" t="s">
        <v>80</v>
      </c>
      <c r="B19" s="15" t="s">
        <v>76</v>
      </c>
      <c r="C19" s="19">
        <v>2</v>
      </c>
      <c r="D19" s="23"/>
      <c r="E19" s="19"/>
      <c r="F19" s="23">
        <v>2</v>
      </c>
      <c r="G19" s="19">
        <v>0</v>
      </c>
      <c r="H19" s="18"/>
      <c r="I19" s="18"/>
      <c r="J19" s="18"/>
      <c r="L19" s="4">
        <v>269.3333333333333</v>
      </c>
      <c r="M19" s="3" t="s">
        <v>81</v>
      </c>
      <c r="O19" s="5">
        <v>2</v>
      </c>
      <c r="P19" s="6">
        <v>0.018077189599590256</v>
      </c>
      <c r="Q19" s="10">
        <v>2260.4680973859813</v>
      </c>
      <c r="R19" s="10">
        <v>10572.173179476367</v>
      </c>
      <c r="T19" s="10">
        <v>79116.60814883721</v>
      </c>
      <c r="U19" s="10">
        <v>8294.515180142038</v>
      </c>
      <c r="V19" s="10">
        <v>24436.070533927545</v>
      </c>
      <c r="W19" s="10">
        <v>-5383.240016492511</v>
      </c>
      <c r="X19" s="10">
        <v>17845.379339306226</v>
      </c>
      <c r="Y19" s="10">
        <v>-3654</v>
      </c>
      <c r="Z19" s="10">
        <v>17902.37405906196</v>
      </c>
      <c r="AB19" s="10">
        <v>75695.17426082242</v>
      </c>
      <c r="AC19" s="10">
        <v>93030.20570571675</v>
      </c>
      <c r="AD19" s="24">
        <v>168725.37996653916</v>
      </c>
      <c r="AE19" s="10"/>
      <c r="AF19" s="10">
        <v>144137.55818108877</v>
      </c>
      <c r="AG19" s="10">
        <v>168542.1023237106</v>
      </c>
      <c r="AH19" s="10">
        <v>157553.30800386547</v>
      </c>
      <c r="AI19" s="10">
        <v>168725.37996653916</v>
      </c>
      <c r="AJ19" s="10">
        <v>168725.37996653916</v>
      </c>
      <c r="AK19" s="10"/>
      <c r="AL19" s="10">
        <v>150958.75242222226</v>
      </c>
      <c r="AM19" s="10">
        <v>170105.35499999998</v>
      </c>
      <c r="AN19" s="10">
        <v>161179.785</v>
      </c>
      <c r="AO19" s="10" t="s">
        <v>54</v>
      </c>
      <c r="AP19" s="10">
        <v>0</v>
      </c>
      <c r="AQ19" s="10">
        <v>-4189.58232371058</v>
      </c>
      <c r="AR19" s="10">
        <v>0</v>
      </c>
      <c r="AS19" s="10">
        <v>0</v>
      </c>
      <c r="AT19" s="10">
        <v>0</v>
      </c>
      <c r="AU19" s="10"/>
      <c r="AV19" s="10">
        <v>149080.84726666668</v>
      </c>
      <c r="AW19" s="10">
        <v>149081</v>
      </c>
      <c r="AX19" s="10">
        <v>170105.35499999998</v>
      </c>
      <c r="AY19" s="10">
        <v>167868</v>
      </c>
      <c r="AZ19" s="10">
        <v>170105.35499999998</v>
      </c>
      <c r="BA19" s="10">
        <v>168725.37996653916</v>
      </c>
      <c r="BB19" s="10">
        <v>168725.37996653916</v>
      </c>
      <c r="BD19" s="9">
        <v>16570</v>
      </c>
      <c r="BE19" s="13">
        <v>13.820576856639029</v>
      </c>
      <c r="BF19" s="13">
        <v>229006.9585145087</v>
      </c>
      <c r="BG19" s="14">
        <v>0.02694678862665248</v>
      </c>
      <c r="BM19" s="4">
        <v>277</v>
      </c>
      <c r="BN19" s="4">
        <v>7.666666666666686</v>
      </c>
      <c r="BO19" s="10">
        <v>144735</v>
      </c>
      <c r="BP19" s="10">
        <v>16444.785000000003</v>
      </c>
      <c r="BQ19" s="14">
        <v>0.14102638833922487</v>
      </c>
      <c r="BR19" s="14">
        <v>0.10382513661202178</v>
      </c>
      <c r="BS19" s="7">
        <v>0</v>
      </c>
      <c r="BZ19" s="78"/>
      <c r="CA19" s="95"/>
    </row>
    <row r="20" spans="1:79" ht="45" hidden="1">
      <c r="A20" s="2" t="s">
        <v>82</v>
      </c>
      <c r="B20" s="15" t="s">
        <v>76</v>
      </c>
      <c r="C20" s="19">
        <v>1</v>
      </c>
      <c r="D20" s="23"/>
      <c r="E20" s="19">
        <v>1</v>
      </c>
      <c r="F20" s="23"/>
      <c r="G20" s="19"/>
      <c r="H20" s="18"/>
      <c r="I20" s="18"/>
      <c r="J20" s="18"/>
      <c r="L20" s="4">
        <v>101.03333333333333</v>
      </c>
      <c r="M20" s="3" t="s">
        <v>83</v>
      </c>
      <c r="O20" s="5">
        <v>1.3333333333333333</v>
      </c>
      <c r="P20" s="6">
        <v>0.01205145973306017</v>
      </c>
      <c r="Q20" s="10">
        <v>1506.9787315906542</v>
      </c>
      <c r="R20" s="10">
        <v>7048.115452984245</v>
      </c>
      <c r="T20" s="10">
        <v>39558.30407441861</v>
      </c>
      <c r="U20" s="10">
        <v>8294.515180142038</v>
      </c>
      <c r="V20" s="10">
        <v>24436.070533927545</v>
      </c>
      <c r="W20" s="10">
        <v>-3479.286612538469</v>
      </c>
      <c r="X20" s="10">
        <v>8922.689669653113</v>
      </c>
      <c r="Y20" s="10">
        <v>0</v>
      </c>
      <c r="Z20" s="10">
        <v>8951.18702953098</v>
      </c>
      <c r="AB20" s="10">
        <v>47619.28702985436</v>
      </c>
      <c r="AC20" s="10">
        <v>34897.84077896379</v>
      </c>
      <c r="AD20" s="24">
        <v>82517.12780881816</v>
      </c>
      <c r="AE20" s="10"/>
      <c r="AF20" s="10">
        <v>81192.50318978327</v>
      </c>
      <c r="AG20" s="10">
        <v>81373.04429546309</v>
      </c>
      <c r="AH20" s="10">
        <v>75974.28839120577</v>
      </c>
      <c r="AI20" s="10">
        <v>82517.12780881816</v>
      </c>
      <c r="AJ20" s="10">
        <v>82517.12780881816</v>
      </c>
      <c r="AK20" s="10"/>
      <c r="AL20" s="10">
        <v>81812.78772992775</v>
      </c>
      <c r="AM20" s="10">
        <v>84303.855</v>
      </c>
      <c r="AN20" s="10">
        <v>82316.61833333333</v>
      </c>
      <c r="AO20" s="10" t="s">
        <v>62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/>
      <c r="AV20" s="10">
        <v>81192.50318978327</v>
      </c>
      <c r="AW20" s="10">
        <v>81193</v>
      </c>
      <c r="AX20" s="10">
        <v>84303.855</v>
      </c>
      <c r="AY20" s="10">
        <v>77858</v>
      </c>
      <c r="AZ20" s="10">
        <v>84303.855</v>
      </c>
      <c r="BA20" s="10">
        <v>82517.12780881816</v>
      </c>
      <c r="BB20" s="10">
        <v>82517.12780881816</v>
      </c>
      <c r="BD20" s="9">
        <v>3027</v>
      </c>
      <c r="BE20" s="13">
        <v>11.650922830684186</v>
      </c>
      <c r="BF20" s="13">
        <v>35267.34340848103</v>
      </c>
      <c r="BG20" s="14">
        <v>0.004149837430340332</v>
      </c>
      <c r="BM20" s="4">
        <v>166</v>
      </c>
      <c r="BN20" s="4">
        <v>64.96666666666667</v>
      </c>
      <c r="BO20" s="10">
        <v>77975</v>
      </c>
      <c r="BP20" s="10">
        <v>4341.618333333332</v>
      </c>
      <c r="BQ20" s="14">
        <v>0.03832067848609256</v>
      </c>
      <c r="BR20" s="14">
        <v>-0.178590785907859</v>
      </c>
      <c r="BS20" s="7">
        <v>0</v>
      </c>
      <c r="BZ20" s="78"/>
      <c r="CA20" s="95"/>
    </row>
    <row r="21" spans="1:79" ht="30" hidden="1">
      <c r="A21" s="2" t="s">
        <v>84</v>
      </c>
      <c r="B21" s="15" t="s">
        <v>76</v>
      </c>
      <c r="C21" s="19">
        <v>1</v>
      </c>
      <c r="D21" s="23"/>
      <c r="E21" s="19"/>
      <c r="F21" s="23"/>
      <c r="G21" s="19">
        <v>0</v>
      </c>
      <c r="H21" s="18"/>
      <c r="I21" s="18"/>
      <c r="J21" s="18"/>
      <c r="L21" s="4">
        <v>88.66666666666666</v>
      </c>
      <c r="M21" s="3" t="s">
        <v>85</v>
      </c>
      <c r="O21" s="5">
        <v>1</v>
      </c>
      <c r="P21" s="6">
        <v>0.009038594799795128</v>
      </c>
      <c r="Q21" s="10">
        <v>1130.2340486929907</v>
      </c>
      <c r="R21" s="10">
        <v>5286.086589738184</v>
      </c>
      <c r="T21" s="10">
        <v>39558.30407441861</v>
      </c>
      <c r="U21" s="10">
        <v>4147.257590071019</v>
      </c>
      <c r="V21" s="10">
        <v>12218.035266963772</v>
      </c>
      <c r="W21" s="10">
        <v>-2691.6200082462556</v>
      </c>
      <c r="X21" s="10">
        <v>4461.3448348265565</v>
      </c>
      <c r="Y21" s="10">
        <v>0</v>
      </c>
      <c r="Z21" s="10">
        <v>8951.18702953098</v>
      </c>
      <c r="AB21" s="10">
        <v>36530.41471299793</v>
      </c>
      <c r="AC21" s="10">
        <v>30626.280591238436</v>
      </c>
      <c r="AD21" s="24">
        <v>67156.69530423637</v>
      </c>
      <c r="AE21" s="10"/>
      <c r="AF21" s="10">
        <v>63342.72489619463</v>
      </c>
      <c r="AG21" s="10">
        <v>64899.256828323065</v>
      </c>
      <c r="AH21" s="10">
        <v>63657.96776286169</v>
      </c>
      <c r="AI21" s="10">
        <v>67156.69530423637</v>
      </c>
      <c r="AJ21" s="10">
        <v>67156.69530423637</v>
      </c>
      <c r="AK21" s="10"/>
      <c r="AL21" s="10">
        <v>60890.08742144444</v>
      </c>
      <c r="AM21" s="10">
        <v>67208.76</v>
      </c>
      <c r="AN21" s="10">
        <v>64871.253333333334</v>
      </c>
      <c r="AO21" s="10" t="s">
        <v>62</v>
      </c>
      <c r="AP21" s="10">
        <v>-873.4626318613009</v>
      </c>
      <c r="AQ21" s="10">
        <v>0</v>
      </c>
      <c r="AR21" s="10">
        <v>0</v>
      </c>
      <c r="AS21" s="10">
        <v>0</v>
      </c>
      <c r="AT21" s="10">
        <v>0</v>
      </c>
      <c r="AU21" s="10"/>
      <c r="AV21" s="10">
        <v>62469.26226433333</v>
      </c>
      <c r="AW21" s="10">
        <v>62469</v>
      </c>
      <c r="AX21" s="10">
        <v>67208.76</v>
      </c>
      <c r="AY21" s="10">
        <v>66326</v>
      </c>
      <c r="AZ21" s="10">
        <v>67208.76</v>
      </c>
      <c r="BA21" s="10">
        <v>67156.69530423637</v>
      </c>
      <c r="BB21" s="10">
        <v>67156.69530423637</v>
      </c>
      <c r="BD21" s="9">
        <v>5020</v>
      </c>
      <c r="BE21" s="13">
        <v>11.379069950169615</v>
      </c>
      <c r="BF21" s="13">
        <v>57122.931149851465</v>
      </c>
      <c r="BG21" s="14">
        <v>0.006721540521801871</v>
      </c>
      <c r="BM21" s="4">
        <v>100</v>
      </c>
      <c r="BN21" s="4">
        <v>11.333333333333343</v>
      </c>
      <c r="BO21" s="10">
        <v>57488</v>
      </c>
      <c r="BP21" s="10">
        <v>7383.253333333334</v>
      </c>
      <c r="BQ21" s="14">
        <v>0.07586927656696</v>
      </c>
      <c r="BR21" s="14">
        <v>-0.041441441441441546</v>
      </c>
      <c r="BS21" s="7">
        <v>0</v>
      </c>
      <c r="BZ21" s="78"/>
      <c r="CA21" s="95"/>
    </row>
    <row r="22" spans="1:79" ht="15" hidden="1">
      <c r="A22" s="2" t="s">
        <v>86</v>
      </c>
      <c r="B22" s="15" t="s">
        <v>76</v>
      </c>
      <c r="C22" s="19">
        <v>4</v>
      </c>
      <c r="D22" s="23">
        <v>0</v>
      </c>
      <c r="E22" s="19">
        <v>2</v>
      </c>
      <c r="F22" s="23">
        <v>1</v>
      </c>
      <c r="G22" s="19">
        <v>1</v>
      </c>
      <c r="H22" s="18"/>
      <c r="I22" s="18"/>
      <c r="J22" s="18"/>
      <c r="L22" s="4">
        <v>561.6666666666667</v>
      </c>
      <c r="M22" s="3" t="s">
        <v>87</v>
      </c>
      <c r="O22" s="5">
        <v>4.716666666666667</v>
      </c>
      <c r="P22" s="6">
        <v>0.04263203880570036</v>
      </c>
      <c r="Q22" s="10">
        <v>5330.93726300194</v>
      </c>
      <c r="R22" s="10">
        <v>24932.708414931767</v>
      </c>
      <c r="T22" s="10">
        <v>158233.21629767443</v>
      </c>
      <c r="U22" s="10">
        <v>24883.545540426112</v>
      </c>
      <c r="V22" s="10">
        <v>73308.21160178263</v>
      </c>
      <c r="W22" s="10">
        <v>-12341.813241569447</v>
      </c>
      <c r="X22" s="10">
        <v>35690.75867861245</v>
      </c>
      <c r="Y22" s="10">
        <v>-3654</v>
      </c>
      <c r="Z22" s="10">
        <v>35804.74811812392</v>
      </c>
      <c r="AB22" s="10">
        <v>171094.1563364919</v>
      </c>
      <c r="AC22" s="10">
        <v>194004.8225422435</v>
      </c>
      <c r="AD22" s="24">
        <v>365098.9788787354</v>
      </c>
      <c r="AE22" s="7"/>
      <c r="AF22" s="10">
        <v>327894.8122137308</v>
      </c>
      <c r="AG22" s="10">
        <v>342998.3065267216</v>
      </c>
      <c r="AH22" s="10">
        <v>343416.28133438516</v>
      </c>
      <c r="AI22" s="10">
        <v>365098.9788787354</v>
      </c>
      <c r="AJ22" s="10">
        <v>365098.9788787354</v>
      </c>
      <c r="AK22" s="7"/>
      <c r="AL22" s="9">
        <v>300049.2120699444</v>
      </c>
      <c r="AM22" s="9">
        <v>343416.28133438516</v>
      </c>
      <c r="AN22" s="10">
        <v>325855.0937781284</v>
      </c>
      <c r="AO22" s="10" t="s">
        <v>54</v>
      </c>
      <c r="AP22" s="10">
        <v>-20682.126003897516</v>
      </c>
      <c r="AQ22" s="10">
        <v>-16062.606526721502</v>
      </c>
      <c r="AR22" s="10">
        <v>-1077.7206642871024</v>
      </c>
      <c r="AS22" s="10">
        <v>0</v>
      </c>
      <c r="AT22" s="10">
        <v>0</v>
      </c>
      <c r="AU22" s="10"/>
      <c r="AV22" s="10">
        <v>307212.6862098333</v>
      </c>
      <c r="AW22" s="10">
        <v>307213</v>
      </c>
      <c r="AX22" s="10">
        <v>343416.28133438516</v>
      </c>
      <c r="AY22" s="10">
        <v>336760</v>
      </c>
      <c r="AZ22" s="10">
        <v>364021.2582144483</v>
      </c>
      <c r="BA22" s="10">
        <v>365098.9788787354</v>
      </c>
      <c r="BB22" s="10">
        <v>365098.9788787354</v>
      </c>
      <c r="BD22" s="9">
        <v>12772</v>
      </c>
      <c r="BE22" s="13">
        <v>10.619815113671528</v>
      </c>
      <c r="BF22" s="13">
        <v>135636.27863181275</v>
      </c>
      <c r="BG22" s="14">
        <v>0.01596004835008382</v>
      </c>
      <c r="BM22" s="4">
        <v>626</v>
      </c>
      <c r="BN22" s="4">
        <v>64.33333333333326</v>
      </c>
      <c r="BO22" s="10">
        <v>282673</v>
      </c>
      <c r="BP22" s="10">
        <v>43182.09377812839</v>
      </c>
      <c r="BQ22" s="14">
        <v>0.11784537797317382</v>
      </c>
      <c r="BR22" s="14">
        <v>0.017819389912413445</v>
      </c>
      <c r="BS22" s="7">
        <v>0.06000000000000005</v>
      </c>
      <c r="BZ22" s="78"/>
      <c r="CA22" s="95"/>
    </row>
    <row r="23" spans="1:79" ht="15" hidden="1">
      <c r="A23" s="2" t="s">
        <v>88</v>
      </c>
      <c r="B23" s="15" t="s">
        <v>76</v>
      </c>
      <c r="C23" s="21">
        <v>1</v>
      </c>
      <c r="D23" s="23">
        <v>1</v>
      </c>
      <c r="E23" s="21"/>
      <c r="F23" s="23"/>
      <c r="G23" s="19"/>
      <c r="H23" s="18"/>
      <c r="I23" s="18"/>
      <c r="J23" s="18"/>
      <c r="L23" s="4">
        <v>152.33333333333331</v>
      </c>
      <c r="M23" s="3" t="s">
        <v>89</v>
      </c>
      <c r="O23" s="5">
        <v>1</v>
      </c>
      <c r="P23" s="6">
        <v>0.009038594799795128</v>
      </c>
      <c r="Q23" s="10">
        <v>1130.2340486929907</v>
      </c>
      <c r="R23" s="10">
        <v>5286.086589738184</v>
      </c>
      <c r="T23" s="10">
        <v>79116.60814883721</v>
      </c>
      <c r="U23" s="10">
        <v>8294.515180142038</v>
      </c>
      <c r="V23" s="10">
        <v>24436.070533927545</v>
      </c>
      <c r="W23" s="10">
        <v>-5383.240016492511</v>
      </c>
      <c r="X23" s="10">
        <v>8922.689669653113</v>
      </c>
      <c r="Y23" s="10">
        <v>-50108</v>
      </c>
      <c r="Z23" s="10">
        <v>8951.18702953098</v>
      </c>
      <c r="AB23" s="10">
        <v>40323.075592014786</v>
      </c>
      <c r="AC23" s="10">
        <v>52617.33169246603</v>
      </c>
      <c r="AD23" s="24">
        <v>92940.40728448081</v>
      </c>
      <c r="AE23" s="10"/>
      <c r="AF23" s="10">
        <v>81131.38554144127</v>
      </c>
      <c r="AG23" s="10">
        <v>81386.19122412382</v>
      </c>
      <c r="AH23" s="10">
        <v>85848.29713788797</v>
      </c>
      <c r="AI23" s="10">
        <v>92940.40728448081</v>
      </c>
      <c r="AJ23" s="10">
        <v>92940.40728448081</v>
      </c>
      <c r="AK23" s="10"/>
      <c r="AL23" s="10">
        <v>66808.77833333334</v>
      </c>
      <c r="AM23" s="10">
        <v>77085.32</v>
      </c>
      <c r="AN23" s="10">
        <v>72345.10666666667</v>
      </c>
      <c r="AO23" s="10" t="s">
        <v>54</v>
      </c>
      <c r="AP23" s="10">
        <v>-13903.620541441269</v>
      </c>
      <c r="AQ23" s="10">
        <v>-8663.801224123818</v>
      </c>
      <c r="AR23" s="10">
        <v>-11229.968084480803</v>
      </c>
      <c r="AS23" s="10">
        <v>-3317.5057937191305</v>
      </c>
      <c r="AT23" s="10">
        <v>0</v>
      </c>
      <c r="AU23" s="10"/>
      <c r="AV23" s="10">
        <v>67227.765</v>
      </c>
      <c r="AW23" s="10">
        <v>67228</v>
      </c>
      <c r="AX23" s="10">
        <v>77085.32</v>
      </c>
      <c r="AY23" s="10">
        <v>76071</v>
      </c>
      <c r="AZ23" s="10">
        <v>81710.43920000001</v>
      </c>
      <c r="BA23" s="10">
        <v>89622.90149076168</v>
      </c>
      <c r="BB23" s="10">
        <v>92940.40728448081</v>
      </c>
      <c r="BD23" s="9">
        <v>7699</v>
      </c>
      <c r="BE23" s="13">
        <v>12.746625981217163</v>
      </c>
      <c r="BF23" s="13">
        <v>98136.27342939093</v>
      </c>
      <c r="BG23" s="14">
        <v>0.011547498092908955</v>
      </c>
      <c r="BM23" s="4">
        <v>214</v>
      </c>
      <c r="BN23" s="4">
        <v>61.666666666666686</v>
      </c>
      <c r="BO23" s="10">
        <v>77478</v>
      </c>
      <c r="BP23" s="10">
        <v>-5132.893333333326</v>
      </c>
      <c r="BQ23" s="14">
        <v>0.1466292238035878</v>
      </c>
      <c r="BR23" s="14">
        <v>-0.07676767676767689</v>
      </c>
      <c r="BS23" s="7">
        <v>0.060000000000000005</v>
      </c>
      <c r="BZ23" s="78"/>
      <c r="CA23" s="95"/>
    </row>
    <row r="24" spans="1:79" ht="15" hidden="1">
      <c r="A24" s="2" t="s">
        <v>90</v>
      </c>
      <c r="B24" s="15" t="s">
        <v>76</v>
      </c>
      <c r="C24" s="19">
        <v>1</v>
      </c>
      <c r="D24" s="23"/>
      <c r="E24" s="19">
        <v>1</v>
      </c>
      <c r="F24" s="23"/>
      <c r="G24" s="19">
        <v>1</v>
      </c>
      <c r="H24" s="18"/>
      <c r="I24" s="18"/>
      <c r="J24" s="18"/>
      <c r="L24" s="4">
        <v>149.33333333333331</v>
      </c>
      <c r="M24" s="3" t="s">
        <v>91</v>
      </c>
      <c r="O24" s="5">
        <v>1.3833333333333333</v>
      </c>
      <c r="P24" s="6">
        <v>0.012503389473049928</v>
      </c>
      <c r="Q24" s="10">
        <v>1563.4904340253038</v>
      </c>
      <c r="R24" s="10">
        <v>7312.419782471155</v>
      </c>
      <c r="T24" s="10">
        <v>39558.30407441861</v>
      </c>
      <c r="U24" s="10">
        <v>8294.515180142038</v>
      </c>
      <c r="V24" s="10">
        <v>24436.070533927545</v>
      </c>
      <c r="W24" s="10">
        <v>-3479.286612538469</v>
      </c>
      <c r="X24" s="10">
        <v>13384.034504479667</v>
      </c>
      <c r="Y24" s="10">
        <v>0</v>
      </c>
      <c r="Z24" s="10">
        <v>8951.18702953098</v>
      </c>
      <c r="AB24" s="10">
        <v>50010.36746322841</v>
      </c>
      <c r="AC24" s="10">
        <v>51581.10415366473</v>
      </c>
      <c r="AD24" s="24">
        <v>101591.47161689313</v>
      </c>
      <c r="AE24" s="10"/>
      <c r="AF24" s="10">
        <v>102412.5483710563</v>
      </c>
      <c r="AG24" s="10">
        <v>99130.21768171916</v>
      </c>
      <c r="AH24" s="10">
        <v>95404.07656588453</v>
      </c>
      <c r="AI24" s="10">
        <v>101591.47161689313</v>
      </c>
      <c r="AJ24" s="10">
        <v>101591.47161689313</v>
      </c>
      <c r="AK24" s="10"/>
      <c r="AL24" s="10">
        <v>89486.41943755555</v>
      </c>
      <c r="AM24" s="10">
        <v>100816.245</v>
      </c>
      <c r="AN24" s="10">
        <v>96558.74833333334</v>
      </c>
      <c r="AO24" s="10" t="s">
        <v>54</v>
      </c>
      <c r="AP24" s="10">
        <v>-10959.82005838964</v>
      </c>
      <c r="AQ24" s="10">
        <v>-1722.9076817191672</v>
      </c>
      <c r="AR24" s="10">
        <v>0</v>
      </c>
      <c r="AS24" s="10">
        <v>0</v>
      </c>
      <c r="AT24" s="10">
        <v>0</v>
      </c>
      <c r="AU24" s="10"/>
      <c r="AV24" s="10">
        <v>91452.72831266666</v>
      </c>
      <c r="AW24" s="10">
        <v>91453</v>
      </c>
      <c r="AX24" s="10">
        <v>100816.245</v>
      </c>
      <c r="AY24" s="10">
        <v>96990</v>
      </c>
      <c r="AZ24" s="10">
        <v>101591.47161689313</v>
      </c>
      <c r="BA24" s="10">
        <v>101591.47161689313</v>
      </c>
      <c r="BB24" s="10">
        <v>101591.47161689313</v>
      </c>
      <c r="BD24" s="9">
        <v>4918</v>
      </c>
      <c r="BE24" s="13">
        <v>12.289768864593</v>
      </c>
      <c r="BF24" s="13">
        <v>60441.08327606838</v>
      </c>
      <c r="BG24" s="14">
        <v>0.007111980814779168</v>
      </c>
      <c r="BM24" s="4">
        <v>199</v>
      </c>
      <c r="BN24" s="4">
        <v>49.666666666666686</v>
      </c>
      <c r="BO24" s="10">
        <v>83299</v>
      </c>
      <c r="BP24" s="10">
        <v>13259.748333333337</v>
      </c>
      <c r="BQ24" s="14">
        <v>0.10238641164778069</v>
      </c>
      <c r="BR24" s="14">
        <v>-0.2302405498281788</v>
      </c>
      <c r="BS24" s="7">
        <v>0.007689501001481838</v>
      </c>
      <c r="BZ24" s="78"/>
      <c r="CA24" s="95"/>
    </row>
    <row r="25" spans="1:79" ht="15" hidden="1">
      <c r="A25" s="2" t="s">
        <v>92</v>
      </c>
      <c r="B25" s="15" t="s">
        <v>93</v>
      </c>
      <c r="C25" s="19">
        <v>1</v>
      </c>
      <c r="D25" s="23"/>
      <c r="E25" s="19"/>
      <c r="F25" s="23"/>
      <c r="G25" s="19"/>
      <c r="H25" s="18"/>
      <c r="I25" s="18"/>
      <c r="J25" s="18"/>
      <c r="L25" s="4">
        <v>102</v>
      </c>
      <c r="M25" s="3" t="s">
        <v>94</v>
      </c>
      <c r="O25" s="5">
        <v>1</v>
      </c>
      <c r="P25" s="6">
        <v>0.009038594799795128</v>
      </c>
      <c r="Q25" s="10">
        <v>1130.2340486929907</v>
      </c>
      <c r="R25" s="10">
        <v>5286.086589738184</v>
      </c>
      <c r="T25" s="10">
        <v>39558.30407441861</v>
      </c>
      <c r="U25" s="10">
        <v>4147.257590071019</v>
      </c>
      <c r="V25" s="10">
        <v>12218.035266963772</v>
      </c>
      <c r="W25" s="10">
        <v>-2691.6200082462556</v>
      </c>
      <c r="X25" s="10">
        <v>4461.3448348265565</v>
      </c>
      <c r="Y25" s="10">
        <v>0</v>
      </c>
      <c r="Z25" s="10">
        <v>8951.18702953098</v>
      </c>
      <c r="AB25" s="10">
        <v>36530.41471299793</v>
      </c>
      <c r="AC25" s="10">
        <v>35231.73631924421</v>
      </c>
      <c r="AD25" s="24">
        <v>71762.15103224214</v>
      </c>
      <c r="AE25" s="10"/>
      <c r="AF25" s="10">
        <v>62978.822500522234</v>
      </c>
      <c r="AG25" s="10">
        <v>63058.213132335906</v>
      </c>
      <c r="AH25" s="10">
        <v>63874.941459628244</v>
      </c>
      <c r="AI25" s="10">
        <v>71762.15103224214</v>
      </c>
      <c r="AJ25" s="10">
        <v>71762.15103224214</v>
      </c>
      <c r="AK25" s="10"/>
      <c r="AL25" s="10">
        <v>61625.51510111111</v>
      </c>
      <c r="AM25" s="10">
        <v>63831.28896970616</v>
      </c>
      <c r="AN25" s="10">
        <v>63209.42965656872</v>
      </c>
      <c r="AO25" s="10" t="s">
        <v>62</v>
      </c>
      <c r="AP25" s="10">
        <v>-210.83719718890643</v>
      </c>
      <c r="AQ25" s="10">
        <v>0</v>
      </c>
      <c r="AR25" s="10">
        <v>-4100.984724353606</v>
      </c>
      <c r="AS25" s="10">
        <v>0</v>
      </c>
      <c r="AT25" s="10">
        <v>0</v>
      </c>
      <c r="AU25" s="10"/>
      <c r="AV25" s="10">
        <v>62767.98530333333</v>
      </c>
      <c r="AW25" s="10">
        <v>62768</v>
      </c>
      <c r="AX25" s="10">
        <v>63831.28896970616</v>
      </c>
      <c r="AY25" s="10">
        <v>63832</v>
      </c>
      <c r="AZ25" s="10">
        <v>67661.16630788853</v>
      </c>
      <c r="BA25" s="10">
        <v>71762.15103224214</v>
      </c>
      <c r="BB25" s="10">
        <v>71762.15103224214</v>
      </c>
      <c r="BD25" s="9">
        <v>3190</v>
      </c>
      <c r="BE25" s="13">
        <v>17.506745604038375</v>
      </c>
      <c r="BF25" s="13">
        <v>55846.51847688242</v>
      </c>
      <c r="BG25" s="14">
        <v>0.006571347607481765</v>
      </c>
      <c r="BM25" s="4">
        <v>140</v>
      </c>
      <c r="BN25" s="4">
        <v>38</v>
      </c>
      <c r="BO25" s="10">
        <v>57763</v>
      </c>
      <c r="BP25" s="10">
        <v>5446.429656568718</v>
      </c>
      <c r="BQ25" s="14">
        <v>0.016940222969309915</v>
      </c>
      <c r="BR25" s="14">
        <v>0.04081632653061224</v>
      </c>
      <c r="BS25" s="6">
        <v>0.06000000000000001</v>
      </c>
      <c r="BZ25" s="78"/>
      <c r="CA25" s="95"/>
    </row>
    <row r="26" spans="1:79" ht="15" hidden="1">
      <c r="A26" s="2" t="s">
        <v>95</v>
      </c>
      <c r="B26" s="15" t="s">
        <v>93</v>
      </c>
      <c r="C26" s="19">
        <v>0.5</v>
      </c>
      <c r="D26" s="23"/>
      <c r="E26" s="19"/>
      <c r="F26" s="23"/>
      <c r="G26" s="19"/>
      <c r="H26" s="18"/>
      <c r="I26" s="18"/>
      <c r="J26" s="18"/>
      <c r="L26" s="4">
        <v>61</v>
      </c>
      <c r="M26" s="3" t="s">
        <v>96</v>
      </c>
      <c r="O26" s="5">
        <v>0.5</v>
      </c>
      <c r="P26" s="6">
        <v>0.004519297399897564</v>
      </c>
      <c r="Q26" s="10">
        <v>565.1170243464953</v>
      </c>
      <c r="R26" s="10">
        <v>2643.043294869092</v>
      </c>
      <c r="T26" s="10">
        <v>19779.152037209304</v>
      </c>
      <c r="U26" s="10">
        <v>2073.6287950355095</v>
      </c>
      <c r="V26" s="10">
        <v>6109.017633481886</v>
      </c>
      <c r="W26" s="10">
        <v>-1345.8100041231278</v>
      </c>
      <c r="X26" s="10">
        <v>2230.6724174132783</v>
      </c>
      <c r="Y26" s="10">
        <v>0</v>
      </c>
      <c r="Z26" s="10">
        <v>4475.59351476549</v>
      </c>
      <c r="AB26" s="10">
        <v>18265.207356498966</v>
      </c>
      <c r="AC26" s="10">
        <v>21069.959955626444</v>
      </c>
      <c r="AD26" s="24">
        <v>39335.16731212541</v>
      </c>
      <c r="AE26" s="10"/>
      <c r="AF26" s="10">
        <v>37681.354223888775</v>
      </c>
      <c r="AG26" s="10">
        <v>38075.04235594946</v>
      </c>
      <c r="AH26" s="10">
        <v>35551.25335383645</v>
      </c>
      <c r="AI26" s="10">
        <v>39335.16731212541</v>
      </c>
      <c r="AJ26" s="10">
        <v>39335.16731212541</v>
      </c>
      <c r="AK26" s="10"/>
      <c r="AL26" s="10">
        <v>27841.686606666666</v>
      </c>
      <c r="AM26" s="10">
        <v>29615.34</v>
      </c>
      <c r="AN26" s="10">
        <v>28303.446666666667</v>
      </c>
      <c r="AO26" s="10" t="s">
        <v>54</v>
      </c>
      <c r="AP26" s="10">
        <v>-10325.284403888778</v>
      </c>
      <c r="AQ26" s="10">
        <v>-10136.342355949459</v>
      </c>
      <c r="AR26" s="10">
        <v>-7942.906912125411</v>
      </c>
      <c r="AS26" s="10">
        <v>-4272.159883808767</v>
      </c>
      <c r="AT26" s="10">
        <v>-2343.694475251352</v>
      </c>
      <c r="AU26" s="10"/>
      <c r="AV26" s="10">
        <v>27356.069819999997</v>
      </c>
      <c r="AW26" s="10">
        <v>27356</v>
      </c>
      <c r="AX26" s="10">
        <v>29615.34</v>
      </c>
      <c r="AY26" s="10">
        <v>25080</v>
      </c>
      <c r="AZ26" s="10">
        <v>31392.260400000003</v>
      </c>
      <c r="BA26" s="10">
        <v>35063.00742831665</v>
      </c>
      <c r="BB26" s="10">
        <v>36991.47283687406</v>
      </c>
      <c r="BD26" s="9">
        <v>2926</v>
      </c>
      <c r="BE26" s="13">
        <v>15.173950058112379</v>
      </c>
      <c r="BF26" s="13">
        <v>44398.97787003682</v>
      </c>
      <c r="BG26" s="14">
        <v>0.0052243385077205195</v>
      </c>
      <c r="BM26" s="4">
        <v>76</v>
      </c>
      <c r="BN26" s="4">
        <v>15</v>
      </c>
      <c r="BO26" s="10">
        <v>25080</v>
      </c>
      <c r="BP26" s="10">
        <v>3223.4466666666667</v>
      </c>
      <c r="BQ26" s="14">
        <v>0.08258752791851164</v>
      </c>
      <c r="BR26" s="14">
        <v>-0.031746031746031744</v>
      </c>
      <c r="BS26" s="6">
        <v>0.06000000000000009</v>
      </c>
      <c r="BZ26" s="78"/>
      <c r="CA26" s="95"/>
    </row>
    <row r="27" spans="1:79" ht="15" hidden="1">
      <c r="A27" s="2" t="s">
        <v>97</v>
      </c>
      <c r="B27" s="15" t="s">
        <v>93</v>
      </c>
      <c r="C27" s="19">
        <v>1</v>
      </c>
      <c r="D27" s="23"/>
      <c r="E27" s="19"/>
      <c r="F27" s="23">
        <v>1</v>
      </c>
      <c r="G27" s="19">
        <v>0</v>
      </c>
      <c r="H27" s="18"/>
      <c r="I27" s="18"/>
      <c r="J27" s="18"/>
      <c r="L27" s="4">
        <v>82.2</v>
      </c>
      <c r="M27" s="3" t="s">
        <v>98</v>
      </c>
      <c r="O27" s="5">
        <v>1</v>
      </c>
      <c r="P27" s="6">
        <v>0.009038594799795128</v>
      </c>
      <c r="Q27" s="10">
        <v>1130.2340486929907</v>
      </c>
      <c r="R27" s="10">
        <v>5286.086589738184</v>
      </c>
      <c r="T27" s="10">
        <v>39558.30407441861</v>
      </c>
      <c r="U27" s="10">
        <v>4147.257590071019</v>
      </c>
      <c r="V27" s="10">
        <v>12218.035266963772</v>
      </c>
      <c r="W27" s="10">
        <v>-2691.6200082462556</v>
      </c>
      <c r="X27" s="10">
        <v>8922.689669653113</v>
      </c>
      <c r="Y27" s="10">
        <v>-3654</v>
      </c>
      <c r="Z27" s="10">
        <v>8951.18702953098</v>
      </c>
      <c r="AB27" s="10">
        <v>36934.08713041121</v>
      </c>
      <c r="AC27" s="10">
        <v>28392.634563155632</v>
      </c>
      <c r="AD27" s="24">
        <v>65326.72169356684</v>
      </c>
      <c r="AE27" s="10"/>
      <c r="AF27" s="10">
        <v>58894.212864690344</v>
      </c>
      <c r="AG27" s="10">
        <v>60376.93054124881</v>
      </c>
      <c r="AH27" s="10">
        <v>62029.22066471078</v>
      </c>
      <c r="AI27" s="10">
        <v>65326.72169356684</v>
      </c>
      <c r="AJ27" s="10">
        <v>65326.72169356684</v>
      </c>
      <c r="AK27" s="10"/>
      <c r="AL27" s="10">
        <v>32994.720533555555</v>
      </c>
      <c r="AM27" s="10">
        <v>30889.460000000003</v>
      </c>
      <c r="AN27" s="10">
        <v>29282.153333333335</v>
      </c>
      <c r="AO27" s="10" t="s">
        <v>62</v>
      </c>
      <c r="AP27" s="10">
        <v>-31077.901264023683</v>
      </c>
      <c r="AQ27" s="10">
        <v>-31235.73054124881</v>
      </c>
      <c r="AR27" s="10">
        <v>-32583.894093566836</v>
      </c>
      <c r="AS27" s="10">
        <v>-29051.268320852498</v>
      </c>
      <c r="AT27" s="10">
        <v>-27056.118385353213</v>
      </c>
      <c r="AU27" s="10"/>
      <c r="AV27" s="10">
        <v>27816.31160066666</v>
      </c>
      <c r="AW27" s="10">
        <v>27816</v>
      </c>
      <c r="AX27" s="10">
        <v>30889.460000000003</v>
      </c>
      <c r="AY27" s="10">
        <v>31045</v>
      </c>
      <c r="AZ27" s="10">
        <v>32742.827600000004</v>
      </c>
      <c r="BA27" s="10">
        <v>36275.45337271434</v>
      </c>
      <c r="BB27" s="10">
        <v>38270.60330821363</v>
      </c>
      <c r="BD27" s="9">
        <v>11581</v>
      </c>
      <c r="BE27" s="13">
        <v>20.139409046557862</v>
      </c>
      <c r="BF27" s="13">
        <v>233234.4961681866</v>
      </c>
      <c r="BG27" s="14">
        <v>0.027444234487266603</v>
      </c>
      <c r="BM27" s="4">
        <v>92</v>
      </c>
      <c r="BN27" s="4">
        <v>9.799999999999997</v>
      </c>
      <c r="BO27" s="10">
        <v>24500</v>
      </c>
      <c r="BP27" s="10">
        <v>4782.1533333333355</v>
      </c>
      <c r="BQ27" s="14">
        <v>0.11048008245851293</v>
      </c>
      <c r="BR27" s="14">
        <v>-0.02529644268774695</v>
      </c>
      <c r="BS27" s="6">
        <v>0.06000000000000004</v>
      </c>
      <c r="BZ27" s="78"/>
      <c r="CA27" s="95"/>
    </row>
    <row r="28" spans="1:79" ht="15" hidden="1">
      <c r="A28" s="2" t="s">
        <v>99</v>
      </c>
      <c r="B28" s="15" t="s">
        <v>93</v>
      </c>
      <c r="C28" s="19">
        <v>1</v>
      </c>
      <c r="D28" s="23"/>
      <c r="E28" s="19">
        <v>1</v>
      </c>
      <c r="F28" s="23"/>
      <c r="G28" s="19"/>
      <c r="H28" s="18"/>
      <c r="I28" s="18"/>
      <c r="J28" s="18"/>
      <c r="L28" s="4">
        <v>79.33333333333333</v>
      </c>
      <c r="M28" s="3" t="s">
        <v>100</v>
      </c>
      <c r="O28" s="5">
        <v>1.3333333333333333</v>
      </c>
      <c r="P28" s="6">
        <v>0.01205145973306017</v>
      </c>
      <c r="Q28" s="10">
        <v>1506.9787315906542</v>
      </c>
      <c r="R28" s="10">
        <v>7048.115452984245</v>
      </c>
      <c r="T28" s="10">
        <v>39558.30407441861</v>
      </c>
      <c r="U28" s="10">
        <v>8294.515180142038</v>
      </c>
      <c r="V28" s="10">
        <v>24436.070533927545</v>
      </c>
      <c r="W28" s="10">
        <v>-3479.286612538469</v>
      </c>
      <c r="X28" s="10">
        <v>8922.689669653113</v>
      </c>
      <c r="Y28" s="10">
        <v>0</v>
      </c>
      <c r="Z28" s="10">
        <v>8951.18702953098</v>
      </c>
      <c r="AB28" s="10">
        <v>47619.28702985436</v>
      </c>
      <c r="AC28" s="10">
        <v>27402.46158163439</v>
      </c>
      <c r="AD28" s="24">
        <v>75021.74861148874</v>
      </c>
      <c r="AE28" s="10"/>
      <c r="AF28" s="10">
        <v>66930.96556975601</v>
      </c>
      <c r="AG28" s="10">
        <v>69161.00189810128</v>
      </c>
      <c r="AH28" s="10">
        <v>68034.1462877201</v>
      </c>
      <c r="AI28" s="10">
        <v>75021.74861148874</v>
      </c>
      <c r="AJ28" s="10">
        <v>75021.74861148874</v>
      </c>
      <c r="AK28" s="10"/>
      <c r="AL28" s="10">
        <v>46054.73207777777</v>
      </c>
      <c r="AM28" s="10">
        <v>35611.76</v>
      </c>
      <c r="AN28" s="10">
        <v>35595.58666666667</v>
      </c>
      <c r="AO28" s="10" t="s">
        <v>62</v>
      </c>
      <c r="AP28" s="10">
        <v>-29352.44933642268</v>
      </c>
      <c r="AQ28" s="10">
        <v>-35565.001898101276</v>
      </c>
      <c r="AR28" s="10">
        <v>-37273.28301148874</v>
      </c>
      <c r="AS28" s="10">
        <v>-30925.058395363507</v>
      </c>
      <c r="AT28" s="10">
        <v>-28499.740433476618</v>
      </c>
      <c r="AU28" s="10"/>
      <c r="AV28" s="10">
        <v>37578.51623333333</v>
      </c>
      <c r="AW28" s="10">
        <v>37579</v>
      </c>
      <c r="AX28" s="10">
        <v>35611.76</v>
      </c>
      <c r="AY28" s="10">
        <v>33596</v>
      </c>
      <c r="AZ28" s="10">
        <v>37748.4656</v>
      </c>
      <c r="BA28" s="10">
        <v>44096.69021612524</v>
      </c>
      <c r="BB28" s="10">
        <v>46522.008178012125</v>
      </c>
      <c r="BD28" s="9">
        <v>10000</v>
      </c>
      <c r="BE28" s="13">
        <v>14</v>
      </c>
      <c r="BF28" s="13">
        <v>140000</v>
      </c>
      <c r="BG28" s="14">
        <v>0.016473518674727683</v>
      </c>
      <c r="BM28" s="4">
        <v>90</v>
      </c>
      <c r="BN28" s="4">
        <v>10.666666666666671</v>
      </c>
      <c r="BO28" s="10">
        <v>28800</v>
      </c>
      <c r="BP28" s="10">
        <v>6795.58666666667</v>
      </c>
      <c r="BQ28" s="14">
        <v>-0.052337250920746876</v>
      </c>
      <c r="BR28" s="14">
        <v>-0.03252032520325209</v>
      </c>
      <c r="BS28" s="6">
        <v>0.060000000000000026</v>
      </c>
      <c r="BZ28" s="78"/>
      <c r="CA28" s="95"/>
    </row>
    <row r="29" spans="1:79" ht="15" hidden="1">
      <c r="A29" s="2" t="s">
        <v>101</v>
      </c>
      <c r="B29" s="15" t="s">
        <v>93</v>
      </c>
      <c r="C29" s="19">
        <v>1</v>
      </c>
      <c r="D29" s="23"/>
      <c r="E29" s="19"/>
      <c r="F29" s="23"/>
      <c r="G29" s="19"/>
      <c r="H29" s="18"/>
      <c r="I29" s="18"/>
      <c r="J29" s="18"/>
      <c r="L29" s="4">
        <v>105.33333333333333</v>
      </c>
      <c r="M29" s="3" t="s">
        <v>102</v>
      </c>
      <c r="O29" s="5">
        <v>1</v>
      </c>
      <c r="P29" s="6">
        <v>0.009038594799795128</v>
      </c>
      <c r="Q29" s="10">
        <v>1130.2340486929907</v>
      </c>
      <c r="R29" s="10">
        <v>5286.086589738184</v>
      </c>
      <c r="T29" s="10">
        <v>39558.30407441861</v>
      </c>
      <c r="U29" s="10">
        <v>4147.257590071019</v>
      </c>
      <c r="V29" s="10">
        <v>12218.035266963772</v>
      </c>
      <c r="W29" s="10">
        <v>-2691.6200082462556</v>
      </c>
      <c r="X29" s="10">
        <v>4461.3448348265565</v>
      </c>
      <c r="Y29" s="10">
        <v>0</v>
      </c>
      <c r="Z29" s="10">
        <v>8951.18702953098</v>
      </c>
      <c r="AB29" s="10">
        <v>36530.41471299793</v>
      </c>
      <c r="AC29" s="10">
        <v>36383.10025124566</v>
      </c>
      <c r="AD29" s="24">
        <v>72913.5149642436</v>
      </c>
      <c r="AE29" s="10"/>
      <c r="AF29" s="10">
        <v>84198.58290138774</v>
      </c>
      <c r="AG29" s="10">
        <v>84681.5758723255</v>
      </c>
      <c r="AH29" s="10">
        <v>67437.82573683336</v>
      </c>
      <c r="AI29" s="10">
        <v>72913.5149642436</v>
      </c>
      <c r="AJ29" s="10">
        <v>72913.5149642436</v>
      </c>
      <c r="AK29" s="10"/>
      <c r="AL29" s="10">
        <v>68446.74609766666</v>
      </c>
      <c r="AM29" s="10">
        <v>69958.75499999999</v>
      </c>
      <c r="AN29" s="10">
        <v>69958.75499999999</v>
      </c>
      <c r="AO29" s="10" t="s">
        <v>62</v>
      </c>
      <c r="AP29" s="10">
        <v>-15981.214608387745</v>
      </c>
      <c r="AQ29" s="10">
        <v>-17088.125872325487</v>
      </c>
      <c r="AR29" s="10">
        <v>0</v>
      </c>
      <c r="AS29" s="10">
        <v>0</v>
      </c>
      <c r="AT29" s="10">
        <v>0</v>
      </c>
      <c r="AU29" s="10"/>
      <c r="AV29" s="10">
        <v>68217.36829299999</v>
      </c>
      <c r="AW29" s="10">
        <v>68217</v>
      </c>
      <c r="AX29" s="10">
        <v>69958.75499999999</v>
      </c>
      <c r="AY29" s="10">
        <v>45000</v>
      </c>
      <c r="AZ29" s="10">
        <v>72913.5149642436</v>
      </c>
      <c r="BA29" s="10">
        <v>72913.5149642436</v>
      </c>
      <c r="BB29" s="10">
        <v>72913.5149642436</v>
      </c>
      <c r="BD29" s="9">
        <v>7195</v>
      </c>
      <c r="BE29" s="13">
        <v>18.04018247483855</v>
      </c>
      <c r="BF29" s="13">
        <v>129799.11290646336</v>
      </c>
      <c r="BG29" s="14">
        <v>0.015273200788769366</v>
      </c>
      <c r="BM29" s="4">
        <v>186</v>
      </c>
      <c r="BN29" s="4">
        <v>80.66666666666667</v>
      </c>
      <c r="BO29" s="10">
        <v>63925</v>
      </c>
      <c r="BP29" s="10">
        <v>6033.75499999999</v>
      </c>
      <c r="BQ29" s="14">
        <v>0.025527028535029066</v>
      </c>
      <c r="BR29" s="14">
        <v>-0.37672583826429984</v>
      </c>
      <c r="BS29" s="6">
        <v>0.04223574253492091</v>
      </c>
      <c r="BZ29" s="78"/>
      <c r="CA29" s="95"/>
    </row>
    <row r="30" spans="1:79" ht="15" hidden="1">
      <c r="A30" s="2" t="s">
        <v>103</v>
      </c>
      <c r="B30" s="15" t="s">
        <v>93</v>
      </c>
      <c r="C30" s="19">
        <v>1</v>
      </c>
      <c r="D30" s="23"/>
      <c r="E30" s="19"/>
      <c r="F30" s="23">
        <v>1</v>
      </c>
      <c r="G30" s="19"/>
      <c r="H30" s="18"/>
      <c r="I30" s="18"/>
      <c r="J30" s="18"/>
      <c r="L30" s="4">
        <v>83.66666666666667</v>
      </c>
      <c r="M30" s="3" t="s">
        <v>104</v>
      </c>
      <c r="O30" s="5">
        <v>1</v>
      </c>
      <c r="P30" s="6">
        <v>0.009038594799795128</v>
      </c>
      <c r="Q30" s="10">
        <v>1130.2340486929907</v>
      </c>
      <c r="R30" s="10">
        <v>5286.086589738184</v>
      </c>
      <c r="T30" s="10">
        <v>39558.30407441861</v>
      </c>
      <c r="U30" s="10">
        <v>4147.257590071019</v>
      </c>
      <c r="V30" s="10">
        <v>12218.035266963772</v>
      </c>
      <c r="W30" s="10">
        <v>-2691.6200082462556</v>
      </c>
      <c r="X30" s="10">
        <v>8922.689669653113</v>
      </c>
      <c r="Y30" s="10">
        <v>-3654</v>
      </c>
      <c r="Z30" s="10">
        <v>8951.18702953098</v>
      </c>
      <c r="AB30" s="10">
        <v>36934.08713041121</v>
      </c>
      <c r="AC30" s="10">
        <v>28899.234693236267</v>
      </c>
      <c r="AD30" s="24">
        <v>65833.32182364748</v>
      </c>
      <c r="AE30" s="10"/>
      <c r="AF30" s="10">
        <v>49222.5945472874</v>
      </c>
      <c r="AG30" s="10">
        <v>47667.39235025825</v>
      </c>
      <c r="AH30" s="10">
        <v>62796.45033568489</v>
      </c>
      <c r="AI30" s="10">
        <v>65833.32182364748</v>
      </c>
      <c r="AJ30" s="10">
        <v>65833.32182364748</v>
      </c>
      <c r="AK30" s="10"/>
      <c r="AL30" s="10">
        <v>55848.89333333333</v>
      </c>
      <c r="AM30" s="10">
        <v>56790.560000000005</v>
      </c>
      <c r="AN30" s="10">
        <v>56790.560000000005</v>
      </c>
      <c r="AO30" s="10" t="s">
        <v>62</v>
      </c>
      <c r="AP30" s="10">
        <v>0</v>
      </c>
      <c r="AQ30" s="10">
        <v>0</v>
      </c>
      <c r="AR30" s="10">
        <v>-5635.32822364747</v>
      </c>
      <c r="AS30" s="10">
        <v>0</v>
      </c>
      <c r="AT30" s="10">
        <v>0</v>
      </c>
      <c r="AU30" s="10"/>
      <c r="AV30" s="10">
        <v>51927.119999999995</v>
      </c>
      <c r="AW30" s="10">
        <v>51927</v>
      </c>
      <c r="AX30" s="10">
        <v>56790.560000000005</v>
      </c>
      <c r="AY30" s="10">
        <v>44000</v>
      </c>
      <c r="AZ30" s="10">
        <v>60197.99360000001</v>
      </c>
      <c r="BA30" s="10">
        <v>65833.32182364748</v>
      </c>
      <c r="BB30" s="10">
        <v>65833.32182364748</v>
      </c>
      <c r="BD30" s="9">
        <v>8762</v>
      </c>
      <c r="BE30" s="13">
        <v>17.022979394029733</v>
      </c>
      <c r="BF30" s="13">
        <v>149155.34545048853</v>
      </c>
      <c r="BG30" s="14">
        <v>0.017550809776529154</v>
      </c>
      <c r="BM30" s="4">
        <v>128</v>
      </c>
      <c r="BN30" s="4">
        <v>44.33333333333333</v>
      </c>
      <c r="BO30" s="10">
        <v>50400</v>
      </c>
      <c r="BP30" s="10">
        <v>6390.560000000005</v>
      </c>
      <c r="BQ30" s="14">
        <v>0.09365895894091585</v>
      </c>
      <c r="BR30" s="14">
        <v>-0.2276923076923076</v>
      </c>
      <c r="BS30" s="6">
        <v>0.06000000000000007</v>
      </c>
      <c r="BZ30" s="78"/>
      <c r="CA30" s="95"/>
    </row>
    <row r="31" spans="1:79" ht="15" hidden="1">
      <c r="A31" s="2" t="s">
        <v>105</v>
      </c>
      <c r="B31" s="15" t="s">
        <v>93</v>
      </c>
      <c r="C31" s="19">
        <v>1</v>
      </c>
      <c r="D31" s="23">
        <v>1</v>
      </c>
      <c r="E31" s="19"/>
      <c r="F31" s="23"/>
      <c r="G31" s="19"/>
      <c r="H31" s="18"/>
      <c r="I31" s="18"/>
      <c r="J31" s="18"/>
      <c r="L31" s="4">
        <v>91.33333333333334</v>
      </c>
      <c r="M31" s="3" t="s">
        <v>106</v>
      </c>
      <c r="O31" s="5">
        <v>1</v>
      </c>
      <c r="P31" s="6">
        <v>0.009038594799795128</v>
      </c>
      <c r="Q31" s="10">
        <v>1130.2340486929907</v>
      </c>
      <c r="R31" s="10">
        <v>5286.086589738184</v>
      </c>
      <c r="T31" s="10">
        <v>79116.60814883721</v>
      </c>
      <c r="U31" s="10">
        <v>8294.515180142038</v>
      </c>
      <c r="V31" s="10">
        <v>24436.070533927545</v>
      </c>
      <c r="W31" s="10">
        <v>-5383.240016492511</v>
      </c>
      <c r="X31" s="10">
        <v>8922.689669653113</v>
      </c>
      <c r="Y31" s="10">
        <v>-50108</v>
      </c>
      <c r="Z31" s="10">
        <v>8951.18702953098</v>
      </c>
      <c r="AB31" s="10">
        <v>40323.075592014786</v>
      </c>
      <c r="AC31" s="10">
        <v>31547.371736839592</v>
      </c>
      <c r="AD31" s="24">
        <v>71870.44732885438</v>
      </c>
      <c r="AE31" s="10"/>
      <c r="AF31" s="10">
        <v>59890.45911733227</v>
      </c>
      <c r="AG31" s="10">
        <v>61338.14505503475</v>
      </c>
      <c r="AH31" s="10">
        <v>61737.21089330518</v>
      </c>
      <c r="AI31" s="10">
        <v>71870.44732885438</v>
      </c>
      <c r="AJ31" s="10">
        <v>71870.44732885438</v>
      </c>
      <c r="AK31" s="10"/>
      <c r="AL31" s="10">
        <v>53488.158782833336</v>
      </c>
      <c r="AM31" s="10">
        <v>61212.880000000005</v>
      </c>
      <c r="AN31" s="10">
        <v>57736.293333333335</v>
      </c>
      <c r="AO31" s="10" t="s">
        <v>62</v>
      </c>
      <c r="AP31" s="10">
        <v>-5642.672768832272</v>
      </c>
      <c r="AQ31" s="10">
        <v>-3589.73275503474</v>
      </c>
      <c r="AR31" s="10">
        <v>-6984.794528854371</v>
      </c>
      <c r="AS31" s="10">
        <v>-345.3039118052111</v>
      </c>
      <c r="AT31" s="10">
        <v>0</v>
      </c>
      <c r="AU31" s="10"/>
      <c r="AV31" s="10">
        <v>54247.7863485</v>
      </c>
      <c r="AW31" s="10">
        <v>54248</v>
      </c>
      <c r="AX31" s="10">
        <v>61212.880000000005</v>
      </c>
      <c r="AY31" s="10">
        <v>52300</v>
      </c>
      <c r="AZ31" s="10">
        <v>64885.65280000001</v>
      </c>
      <c r="BA31" s="10">
        <v>71525.14341704917</v>
      </c>
      <c r="BB31" s="10">
        <v>71870.44732885438</v>
      </c>
      <c r="BD31" s="9">
        <v>2512</v>
      </c>
      <c r="BE31" s="13">
        <v>19.531762465239755</v>
      </c>
      <c r="BF31" s="13">
        <v>49063.78731268227</v>
      </c>
      <c r="BG31" s="14">
        <v>0.005773237261059561</v>
      </c>
      <c r="BM31" s="4">
        <v>94</v>
      </c>
      <c r="BN31" s="4">
        <v>2.666666666666657</v>
      </c>
      <c r="BO31" s="10">
        <v>49912</v>
      </c>
      <c r="BP31" s="10">
        <v>7824.293333333335</v>
      </c>
      <c r="BQ31" s="14">
        <v>0.12839406214208773</v>
      </c>
      <c r="BR31" s="14">
        <v>0.04182509505703427</v>
      </c>
      <c r="BS31" s="6">
        <v>0.060000000000000095</v>
      </c>
      <c r="BZ31" s="78"/>
      <c r="CA31" s="95"/>
    </row>
    <row r="32" spans="1:79" ht="15" hidden="1">
      <c r="A32" s="2" t="s">
        <v>107</v>
      </c>
      <c r="B32" s="15" t="s">
        <v>93</v>
      </c>
      <c r="C32" s="19">
        <v>0.66</v>
      </c>
      <c r="D32" s="23"/>
      <c r="E32" s="19"/>
      <c r="F32" s="23"/>
      <c r="G32" s="19"/>
      <c r="H32" s="18"/>
      <c r="I32" s="18"/>
      <c r="J32" s="18"/>
      <c r="L32" s="4">
        <v>37.333333333333336</v>
      </c>
      <c r="M32" s="3" t="s">
        <v>108</v>
      </c>
      <c r="O32" s="5">
        <v>0.66</v>
      </c>
      <c r="P32" s="6">
        <v>0.005965472567864785</v>
      </c>
      <c r="Q32" s="10">
        <v>745.954472137374</v>
      </c>
      <c r="R32" s="10">
        <v>3488.8171492272018</v>
      </c>
      <c r="T32" s="10">
        <v>26108.480689116284</v>
      </c>
      <c r="U32" s="10">
        <v>2737.190009446873</v>
      </c>
      <c r="V32" s="10">
        <v>8063.903276196091</v>
      </c>
      <c r="W32" s="10">
        <v>-1776.4692054425284</v>
      </c>
      <c r="X32" s="10">
        <v>2944.4875909855273</v>
      </c>
      <c r="Y32" s="10">
        <v>0</v>
      </c>
      <c r="Z32" s="10">
        <v>5907.783439490447</v>
      </c>
      <c r="AB32" s="10">
        <v>24110.07371057864</v>
      </c>
      <c r="AC32" s="10">
        <v>12895.276038416183</v>
      </c>
      <c r="AD32" s="24">
        <v>37005.34974899482</v>
      </c>
      <c r="AE32" s="10"/>
      <c r="AF32" s="10">
        <v>51023.867468819124</v>
      </c>
      <c r="AG32" s="10">
        <v>51624.819442039974</v>
      </c>
      <c r="AH32" s="10">
        <v>45856.92668633383</v>
      </c>
      <c r="AI32" s="10">
        <v>37005.34974899482</v>
      </c>
      <c r="AJ32" s="10">
        <v>37005.34974899482</v>
      </c>
      <c r="AK32" s="10"/>
      <c r="AL32" s="10">
        <v>42642.90266666666</v>
      </c>
      <c r="AM32" s="10">
        <v>45326.66</v>
      </c>
      <c r="AN32" s="10">
        <v>42793.886666666665</v>
      </c>
      <c r="AO32" s="10" t="s">
        <v>62</v>
      </c>
      <c r="AP32" s="10">
        <v>-10729.619468819124</v>
      </c>
      <c r="AQ32" s="10">
        <v>-8863.919442039965</v>
      </c>
      <c r="AR32" s="10">
        <v>0</v>
      </c>
      <c r="AS32" s="10">
        <v>0</v>
      </c>
      <c r="AT32" s="10">
        <v>0</v>
      </c>
      <c r="AU32" s="10"/>
      <c r="AV32" s="10">
        <v>40294.248</v>
      </c>
      <c r="AW32" s="10">
        <v>40294</v>
      </c>
      <c r="AX32" s="10">
        <v>45326.66</v>
      </c>
      <c r="AY32" s="10">
        <v>43000</v>
      </c>
      <c r="AZ32" s="10">
        <v>45326.66</v>
      </c>
      <c r="BA32" s="10">
        <v>42793.886666666665</v>
      </c>
      <c r="BB32" s="10">
        <v>42793.886666666665</v>
      </c>
      <c r="BD32" s="9">
        <v>4127</v>
      </c>
      <c r="BE32" s="13">
        <v>15.632693802264646</v>
      </c>
      <c r="BF32" s="13">
        <v>64516.127321946195</v>
      </c>
      <c r="BG32" s="14">
        <v>0.007591483058994211</v>
      </c>
      <c r="BM32" s="4">
        <v>96</v>
      </c>
      <c r="BN32" s="4">
        <v>58.666666666666664</v>
      </c>
      <c r="BO32" s="10">
        <v>37080</v>
      </c>
      <c r="BP32" s="10">
        <v>5713.886666666665</v>
      </c>
      <c r="BQ32" s="14">
        <v>0.12489157261354038</v>
      </c>
      <c r="BR32" s="14">
        <v>-0.3563218390804597</v>
      </c>
      <c r="BS32" s="6">
        <v>0</v>
      </c>
      <c r="BZ32" s="78"/>
      <c r="CA32" s="95"/>
    </row>
    <row r="33" spans="1:79" ht="15" hidden="1">
      <c r="A33" s="2" t="s">
        <v>109</v>
      </c>
      <c r="B33" s="15" t="s">
        <v>93</v>
      </c>
      <c r="C33" s="19"/>
      <c r="D33" s="23"/>
      <c r="E33" s="19">
        <v>1</v>
      </c>
      <c r="F33" s="23"/>
      <c r="G33" s="19"/>
      <c r="H33" s="18"/>
      <c r="I33" s="18"/>
      <c r="J33" s="18"/>
      <c r="L33" s="4">
        <v>32.333333333333336</v>
      </c>
      <c r="M33" s="3" t="s">
        <v>110</v>
      </c>
      <c r="O33" s="5">
        <v>0.3333333333333333</v>
      </c>
      <c r="P33" s="6">
        <v>0.0030128649332650426</v>
      </c>
      <c r="Q33" s="10">
        <v>376.74468289766355</v>
      </c>
      <c r="R33" s="10">
        <v>1762.0288632460613</v>
      </c>
      <c r="T33" s="10">
        <v>0</v>
      </c>
      <c r="U33" s="10">
        <v>4147.257590071019</v>
      </c>
      <c r="V33" s="10">
        <v>12218.035266963772</v>
      </c>
      <c r="W33" s="10">
        <v>-787.6666042922137</v>
      </c>
      <c r="X33" s="10">
        <v>4461.3448348265565</v>
      </c>
      <c r="Y33" s="10">
        <v>0</v>
      </c>
      <c r="Z33" s="10">
        <v>0</v>
      </c>
      <c r="AB33" s="10">
        <v>11088.872316856428</v>
      </c>
      <c r="AC33" s="10">
        <v>11168.230140414016</v>
      </c>
      <c r="AD33" s="24">
        <v>22257.102457270445</v>
      </c>
      <c r="AE33" s="10"/>
      <c r="AF33" s="10">
        <v>36039.30207108005</v>
      </c>
      <c r="AG33" s="10">
        <v>37277.76366895957</v>
      </c>
      <c r="AH33" s="10">
        <v>20141.28572869763</v>
      </c>
      <c r="AI33" s="10">
        <v>22257.102457270445</v>
      </c>
      <c r="AJ33" s="10">
        <v>22257.102457270445</v>
      </c>
      <c r="AK33" s="10"/>
      <c r="AL33" s="10">
        <v>18867.507627777777</v>
      </c>
      <c r="AM33" s="10">
        <v>20125.844031582335</v>
      </c>
      <c r="AN33" s="10">
        <v>19471.614677194113</v>
      </c>
      <c r="AO33" s="10" t="s">
        <v>54</v>
      </c>
      <c r="AP33" s="10">
        <v>-17591.069187746718</v>
      </c>
      <c r="AQ33" s="10">
        <v>-17437.253668959565</v>
      </c>
      <c r="AR33" s="10">
        <v>-923.7077837931683</v>
      </c>
      <c r="AS33" s="10">
        <v>0</v>
      </c>
      <c r="AT33" s="10">
        <v>0</v>
      </c>
      <c r="AU33" s="10"/>
      <c r="AV33" s="10">
        <v>18448.23288333333</v>
      </c>
      <c r="AW33" s="10">
        <v>18448</v>
      </c>
      <c r="AX33" s="10">
        <v>20125.844031582335</v>
      </c>
      <c r="AY33" s="10">
        <v>20125</v>
      </c>
      <c r="AZ33" s="10">
        <v>21333.394673477276</v>
      </c>
      <c r="BA33" s="10">
        <v>22257.102457270445</v>
      </c>
      <c r="BB33" s="10">
        <v>22257.102457270445</v>
      </c>
      <c r="BD33" s="9">
        <v>1687</v>
      </c>
      <c r="BE33" s="13">
        <v>12.4</v>
      </c>
      <c r="BF33" s="13">
        <v>20918.8</v>
      </c>
      <c r="BG33" s="14">
        <v>0.0024614731603778105</v>
      </c>
      <c r="BM33" s="4">
        <v>35</v>
      </c>
      <c r="BN33" s="4">
        <v>2.6666666666666643</v>
      </c>
      <c r="BO33" s="10">
        <v>17407</v>
      </c>
      <c r="BP33" s="10">
        <v>2064.614677194113</v>
      </c>
      <c r="BQ33" s="14">
        <v>0.09093614325329813</v>
      </c>
      <c r="BR33" s="14">
        <v>-0.07619047619047613</v>
      </c>
      <c r="BS33" s="6">
        <v>0.06000000000000003</v>
      </c>
      <c r="BZ33" s="78"/>
      <c r="CA33" s="95"/>
    </row>
    <row r="34" spans="1:79" ht="15" hidden="1">
      <c r="A34" s="2" t="s">
        <v>111</v>
      </c>
      <c r="B34" s="15" t="s">
        <v>93</v>
      </c>
      <c r="C34" s="19">
        <v>1</v>
      </c>
      <c r="D34" s="23">
        <v>1</v>
      </c>
      <c r="E34" s="19"/>
      <c r="F34" s="23"/>
      <c r="G34" s="19"/>
      <c r="H34" s="18"/>
      <c r="I34" s="18"/>
      <c r="J34" s="18"/>
      <c r="L34" s="4">
        <v>117.33333333333333</v>
      </c>
      <c r="M34" s="3" t="s">
        <v>112</v>
      </c>
      <c r="O34" s="5">
        <v>1</v>
      </c>
      <c r="P34" s="6">
        <v>0.009038594799795128</v>
      </c>
      <c r="Q34" s="10">
        <v>1130.2340486929907</v>
      </c>
      <c r="R34" s="10">
        <v>5286.086589738184</v>
      </c>
      <c r="T34" s="10">
        <v>79116.60814883721</v>
      </c>
      <c r="U34" s="10">
        <v>8294.515180142038</v>
      </c>
      <c r="V34" s="10">
        <v>24436.070533927545</v>
      </c>
      <c r="W34" s="10">
        <v>-5383.240016492511</v>
      </c>
      <c r="X34" s="10">
        <v>8922.689669653113</v>
      </c>
      <c r="Y34" s="10">
        <v>-50108</v>
      </c>
      <c r="Z34" s="10">
        <v>8951.18702953098</v>
      </c>
      <c r="AB34" s="10">
        <v>40323.075592014786</v>
      </c>
      <c r="AC34" s="10">
        <v>40528.01040645086</v>
      </c>
      <c r="AD34" s="24">
        <v>80851.08599846566</v>
      </c>
      <c r="AE34" s="10"/>
      <c r="AF34" s="10">
        <v>48973.53298412693</v>
      </c>
      <c r="AG34" s="10">
        <v>51866.38206837578</v>
      </c>
      <c r="AH34" s="10">
        <v>68964.77614134984</v>
      </c>
      <c r="AI34" s="10">
        <v>80851.08599846566</v>
      </c>
      <c r="AJ34" s="10">
        <v>80851.08599846566</v>
      </c>
      <c r="AK34" s="10"/>
      <c r="AL34" s="10">
        <v>48192.73291666666</v>
      </c>
      <c r="AM34" s="10">
        <v>57339.64</v>
      </c>
      <c r="AN34" s="10">
        <v>53008.54666666667</v>
      </c>
      <c r="AO34" s="10" t="s">
        <v>54</v>
      </c>
      <c r="AP34" s="10">
        <v>-1381.1642341269326</v>
      </c>
      <c r="AQ34" s="10">
        <v>0</v>
      </c>
      <c r="AR34" s="10">
        <v>-20071.067598465655</v>
      </c>
      <c r="AS34" s="10">
        <v>-15182.79169399332</v>
      </c>
      <c r="AT34" s="10">
        <v>-11571.035507247347</v>
      </c>
      <c r="AU34" s="10"/>
      <c r="AV34" s="10">
        <v>47592.368749999994</v>
      </c>
      <c r="AW34" s="10">
        <v>47592</v>
      </c>
      <c r="AX34" s="10">
        <v>57339.64</v>
      </c>
      <c r="AY34" s="10">
        <v>53144</v>
      </c>
      <c r="AZ34" s="10">
        <v>60780.0184</v>
      </c>
      <c r="BA34" s="10">
        <v>65668.29430447234</v>
      </c>
      <c r="BB34" s="10">
        <v>69280.05049121831</v>
      </c>
      <c r="BD34" s="9">
        <v>5511</v>
      </c>
      <c r="BE34" s="13">
        <v>8</v>
      </c>
      <c r="BF34" s="13">
        <v>44088</v>
      </c>
      <c r="BG34" s="14">
        <v>0.005187746366652815</v>
      </c>
      <c r="BM34" s="4">
        <v>112</v>
      </c>
      <c r="BN34" s="4">
        <v>-5.333333333333329</v>
      </c>
      <c r="BO34" s="10">
        <v>45000</v>
      </c>
      <c r="BP34" s="10">
        <v>8008.546666666669</v>
      </c>
      <c r="BQ34" s="14">
        <v>0.2048074408988102</v>
      </c>
      <c r="BR34" s="14">
        <v>0.09147286821705422</v>
      </c>
      <c r="BS34" s="6">
        <v>0.060000000000000026</v>
      </c>
      <c r="BZ34" s="78"/>
      <c r="CA34" s="95"/>
    </row>
    <row r="35" spans="1:79" ht="15" hidden="1">
      <c r="A35" s="2" t="s">
        <v>113</v>
      </c>
      <c r="B35" s="15" t="s">
        <v>93</v>
      </c>
      <c r="C35" s="19"/>
      <c r="D35" s="23"/>
      <c r="E35" s="19">
        <v>1</v>
      </c>
      <c r="F35" s="23"/>
      <c r="G35" s="19"/>
      <c r="H35" s="18"/>
      <c r="I35" s="18"/>
      <c r="J35" s="18"/>
      <c r="L35" s="4">
        <v>60.666666666666664</v>
      </c>
      <c r="M35" s="3" t="s">
        <v>114</v>
      </c>
      <c r="O35" s="5">
        <v>0.3333333333333333</v>
      </c>
      <c r="P35" s="6">
        <v>0.0030128649332650426</v>
      </c>
      <c r="Q35" s="10">
        <v>376.74468289766355</v>
      </c>
      <c r="R35" s="10">
        <v>1762.0288632460613</v>
      </c>
      <c r="T35" s="10">
        <v>0</v>
      </c>
      <c r="U35" s="10">
        <v>4147.257590071019</v>
      </c>
      <c r="V35" s="10">
        <v>12218.035266963772</v>
      </c>
      <c r="W35" s="10">
        <v>-787.6666042922137</v>
      </c>
      <c r="X35" s="10">
        <v>4461.3448348265565</v>
      </c>
      <c r="Y35" s="10">
        <v>0</v>
      </c>
      <c r="Z35" s="10">
        <v>0</v>
      </c>
      <c r="AB35" s="10">
        <v>11088.872316856428</v>
      </c>
      <c r="AC35" s="10">
        <v>20954.823562426296</v>
      </c>
      <c r="AD35" s="24">
        <v>32043.695879282724</v>
      </c>
      <c r="AE35" s="10"/>
      <c r="AF35" s="10">
        <v>49687.875732274435</v>
      </c>
      <c r="AG35" s="10">
        <v>59335.107248468536</v>
      </c>
      <c r="AH35" s="10">
        <v>37446.72364655102</v>
      </c>
      <c r="AI35" s="10">
        <v>32043.695879282724</v>
      </c>
      <c r="AJ35" s="10">
        <v>32043.695879282724</v>
      </c>
      <c r="AK35" s="10"/>
      <c r="AL35" s="10">
        <v>17907.820277777777</v>
      </c>
      <c r="AM35" s="10">
        <v>19225.22</v>
      </c>
      <c r="AN35" s="10">
        <v>18126.74</v>
      </c>
      <c r="AO35" s="10" t="s">
        <v>54</v>
      </c>
      <c r="AP35" s="10">
        <v>-32669.494898941102</v>
      </c>
      <c r="AQ35" s="10">
        <v>-41198.44724846853</v>
      </c>
      <c r="AR35" s="10">
        <v>-11664.962679282722</v>
      </c>
      <c r="AS35" s="10">
        <v>-9587.843531812512</v>
      </c>
      <c r="AT35" s="10">
        <v>-8352.771652701653</v>
      </c>
      <c r="AU35" s="10"/>
      <c r="AV35" s="10">
        <v>17018.380833333333</v>
      </c>
      <c r="AW35" s="10">
        <v>17018</v>
      </c>
      <c r="AX35" s="10">
        <v>19225.22</v>
      </c>
      <c r="AY35" s="10">
        <v>18719</v>
      </c>
      <c r="AZ35" s="10">
        <v>20378.733200000002</v>
      </c>
      <c r="BA35" s="10">
        <v>22455.852347470212</v>
      </c>
      <c r="BB35" s="10">
        <v>23690.92422658107</v>
      </c>
      <c r="BD35" s="9">
        <v>2382</v>
      </c>
      <c r="BE35" s="13">
        <v>11.304213280682973</v>
      </c>
      <c r="BF35" s="13">
        <v>26926.63603458684</v>
      </c>
      <c r="BG35" s="14">
        <v>0.0031684031540240125</v>
      </c>
      <c r="BM35" s="4">
        <v>26</v>
      </c>
      <c r="BN35" s="4">
        <v>-34.666666666666664</v>
      </c>
      <c r="BO35" s="10">
        <v>16000</v>
      </c>
      <c r="BP35" s="10">
        <v>2126.7400000000016</v>
      </c>
      <c r="BQ35" s="14">
        <v>0.12967386194250669</v>
      </c>
      <c r="BR35" s="14">
        <v>-0.24793388429752072</v>
      </c>
      <c r="BS35" s="6">
        <v>0.06000000000000006</v>
      </c>
      <c r="BZ35" s="78"/>
      <c r="CA35" s="95"/>
    </row>
    <row r="36" spans="1:79" ht="15" hidden="1">
      <c r="A36" s="2" t="s">
        <v>115</v>
      </c>
      <c r="B36" s="15" t="s">
        <v>116</v>
      </c>
      <c r="C36" s="19">
        <v>1</v>
      </c>
      <c r="D36" s="23"/>
      <c r="E36" s="19"/>
      <c r="F36" s="23"/>
      <c r="G36" s="19"/>
      <c r="H36" s="18"/>
      <c r="I36" s="18"/>
      <c r="J36" s="18"/>
      <c r="L36" s="4">
        <v>76.33333333333333</v>
      </c>
      <c r="M36" s="3" t="s">
        <v>117</v>
      </c>
      <c r="O36" s="5">
        <v>1</v>
      </c>
      <c r="P36" s="6">
        <v>0.009038594799795128</v>
      </c>
      <c r="Q36" s="10">
        <v>1130.2340486929907</v>
      </c>
      <c r="R36" s="10">
        <v>5286.086589738184</v>
      </c>
      <c r="T36" s="10">
        <v>39558.30407441861</v>
      </c>
      <c r="U36" s="10">
        <v>4147.257590071019</v>
      </c>
      <c r="V36" s="10">
        <v>12218.035266963772</v>
      </c>
      <c r="W36" s="10">
        <v>-2691.6200082462556</v>
      </c>
      <c r="X36" s="10">
        <v>4461.3448348265565</v>
      </c>
      <c r="Y36" s="10">
        <v>0</v>
      </c>
      <c r="Z36" s="10">
        <v>8951.18702953098</v>
      </c>
      <c r="AB36" s="10">
        <v>36530.41471299793</v>
      </c>
      <c r="AC36" s="10">
        <v>26366.234042833086</v>
      </c>
      <c r="AD36" s="24">
        <v>62896.64875583102</v>
      </c>
      <c r="AE36" s="10"/>
      <c r="AF36" s="10">
        <v>57813.273413624396</v>
      </c>
      <c r="AG36" s="10">
        <v>59709.79365744165</v>
      </c>
      <c r="AH36" s="10">
        <v>64282.12823416597</v>
      </c>
      <c r="AI36" s="10">
        <v>62896.64875583102</v>
      </c>
      <c r="AJ36" s="10">
        <v>62896.64875583102</v>
      </c>
      <c r="AK36" s="10"/>
      <c r="AL36" s="10">
        <v>62240.38398888888</v>
      </c>
      <c r="AM36" s="10">
        <v>64237.881832816376</v>
      </c>
      <c r="AN36" s="10">
        <v>62354.62727760546</v>
      </c>
      <c r="AO36" s="10" t="s">
        <v>62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/>
      <c r="AV36" s="10">
        <v>61162.09196666667</v>
      </c>
      <c r="AW36" s="10">
        <v>61162</v>
      </c>
      <c r="AX36" s="10">
        <v>64237.881832816376</v>
      </c>
      <c r="AY36" s="10">
        <v>63632</v>
      </c>
      <c r="AZ36" s="10">
        <v>64237.881832816376</v>
      </c>
      <c r="BA36" s="10">
        <v>62896.64875583102</v>
      </c>
      <c r="BB36" s="10">
        <v>62896.64875583102</v>
      </c>
      <c r="BD36" s="9">
        <v>13301</v>
      </c>
      <c r="BE36" s="13">
        <v>7.255013604433246</v>
      </c>
      <c r="BF36" s="13">
        <v>96498.9359525666</v>
      </c>
      <c r="BG36" s="14">
        <v>0.011354835882185403</v>
      </c>
      <c r="BM36" s="4">
        <v>84</v>
      </c>
      <c r="BN36" s="4">
        <v>7.666666666666671</v>
      </c>
      <c r="BO36" s="10">
        <v>60050</v>
      </c>
      <c r="BP36" s="10">
        <v>2304.627277605461</v>
      </c>
      <c r="BQ36" s="14">
        <v>0.05028915406991007</v>
      </c>
      <c r="BR36" s="14">
        <v>0.031531531531531466</v>
      </c>
      <c r="BS36" s="6">
        <v>0</v>
      </c>
      <c r="BZ36" s="78"/>
      <c r="CA36" s="95"/>
    </row>
    <row r="37" spans="1:79" ht="15" hidden="1">
      <c r="A37" s="2" t="s">
        <v>118</v>
      </c>
      <c r="B37" s="15" t="s">
        <v>116</v>
      </c>
      <c r="C37" s="19">
        <v>1</v>
      </c>
      <c r="D37" s="23"/>
      <c r="E37" s="19"/>
      <c r="F37" s="23"/>
      <c r="G37" s="19"/>
      <c r="H37" s="18"/>
      <c r="I37" s="18"/>
      <c r="J37" s="18"/>
      <c r="L37" s="4">
        <v>55.666666666666664</v>
      </c>
      <c r="M37" s="3" t="s">
        <v>119</v>
      </c>
      <c r="O37" s="5">
        <v>1</v>
      </c>
      <c r="P37" s="6">
        <v>0.009038594799795128</v>
      </c>
      <c r="Q37" s="10">
        <v>1130.2340486929907</v>
      </c>
      <c r="R37" s="10">
        <v>5286.086589738184</v>
      </c>
      <c r="T37" s="10">
        <v>39558.30407441861</v>
      </c>
      <c r="U37" s="10">
        <v>4147.257590071019</v>
      </c>
      <c r="V37" s="10">
        <v>12218.035266963772</v>
      </c>
      <c r="W37" s="10">
        <v>-2691.6200082462556</v>
      </c>
      <c r="X37" s="10">
        <v>4461.3448348265565</v>
      </c>
      <c r="Y37" s="10">
        <v>0</v>
      </c>
      <c r="Z37" s="10">
        <v>8951.18702953098</v>
      </c>
      <c r="AB37" s="10">
        <v>36530.41471299793</v>
      </c>
      <c r="AC37" s="10">
        <v>19227.77766442413</v>
      </c>
      <c r="AD37" s="24">
        <v>55758.19237742206</v>
      </c>
      <c r="AE37" s="10"/>
      <c r="AF37" s="10">
        <v>48433.627211950115</v>
      </c>
      <c r="AG37" s="10">
        <v>49702.390414468086</v>
      </c>
      <c r="AH37" s="10">
        <v>51557.54152986201</v>
      </c>
      <c r="AI37" s="10">
        <v>55758.19237742206</v>
      </c>
      <c r="AJ37" s="10">
        <v>55758.19237742206</v>
      </c>
      <c r="AK37" s="10"/>
      <c r="AL37" s="10">
        <v>31366.3189635</v>
      </c>
      <c r="AM37" s="10">
        <v>33583</v>
      </c>
      <c r="AN37" s="10">
        <v>32333.666666666668</v>
      </c>
      <c r="AO37" s="10" t="s">
        <v>62</v>
      </c>
      <c r="AP37" s="10">
        <v>-16698.080321450117</v>
      </c>
      <c r="AQ37" s="10">
        <v>-18020.03041446808</v>
      </c>
      <c r="AR37" s="10">
        <v>-20160.21237742206</v>
      </c>
      <c r="AS37" s="10">
        <v>-15702.449065663524</v>
      </c>
      <c r="AT37" s="10">
        <v>-13499.38318351681</v>
      </c>
      <c r="AU37" s="10"/>
      <c r="AV37" s="10">
        <v>31735.546890499998</v>
      </c>
      <c r="AW37" s="10">
        <v>31736</v>
      </c>
      <c r="AX37" s="10">
        <v>33583</v>
      </c>
      <c r="AY37" s="10">
        <v>33015</v>
      </c>
      <c r="AZ37" s="10">
        <v>35597.98</v>
      </c>
      <c r="BA37" s="10">
        <v>40055.74331175854</v>
      </c>
      <c r="BB37" s="10">
        <v>42258.809193905254</v>
      </c>
      <c r="BD37" s="9">
        <v>6869</v>
      </c>
      <c r="BE37" s="13">
        <v>17.38</v>
      </c>
      <c r="BF37" s="13">
        <v>119383.21999999999</v>
      </c>
      <c r="BG37" s="14">
        <v>0.01404758360085088</v>
      </c>
      <c r="BM37" s="4">
        <v>32</v>
      </c>
      <c r="BN37" s="4">
        <v>-23.666666666666664</v>
      </c>
      <c r="BO37" s="10">
        <v>29826</v>
      </c>
      <c r="BP37" s="10">
        <v>2507.666666666668</v>
      </c>
      <c r="BQ37" s="14">
        <v>0.058213999458538876</v>
      </c>
      <c r="BR37" s="14">
        <v>0.1283783783783783</v>
      </c>
      <c r="BS37" s="6">
        <v>0.060000000000000095</v>
      </c>
      <c r="BZ37" s="78"/>
      <c r="CA37" s="95"/>
    </row>
    <row r="38" spans="1:79" ht="30" hidden="1">
      <c r="A38" s="2" t="s">
        <v>120</v>
      </c>
      <c r="B38" s="15" t="s">
        <v>116</v>
      </c>
      <c r="C38" s="19">
        <v>1</v>
      </c>
      <c r="D38" s="23"/>
      <c r="E38" s="19"/>
      <c r="F38" s="23"/>
      <c r="G38" s="19">
        <v>1</v>
      </c>
      <c r="H38" s="18"/>
      <c r="I38" s="18"/>
      <c r="J38" s="18"/>
      <c r="L38" s="4">
        <v>72.33333333333333</v>
      </c>
      <c r="M38" s="3" t="s">
        <v>121</v>
      </c>
      <c r="O38" s="5">
        <v>1.05</v>
      </c>
      <c r="P38" s="6">
        <v>0.009490524539784885</v>
      </c>
      <c r="Q38" s="10">
        <v>1186.7457511276402</v>
      </c>
      <c r="R38" s="10">
        <v>5550.390919225093</v>
      </c>
      <c r="T38" s="10">
        <v>39558.30407441861</v>
      </c>
      <c r="U38" s="10">
        <v>4147.257590071019</v>
      </c>
      <c r="V38" s="10">
        <v>12218.035266963772</v>
      </c>
      <c r="W38" s="10">
        <v>-2691.6200082462556</v>
      </c>
      <c r="X38" s="10">
        <v>8922.689669653113</v>
      </c>
      <c r="Y38" s="10">
        <v>0</v>
      </c>
      <c r="Z38" s="10">
        <v>8951.18702953098</v>
      </c>
      <c r="AB38" s="10">
        <v>38921.495146371984</v>
      </c>
      <c r="AC38" s="10">
        <v>24984.597324431354</v>
      </c>
      <c r="AD38" s="24">
        <v>63906.09247080334</v>
      </c>
      <c r="AE38" s="10"/>
      <c r="AF38" s="10">
        <v>56618.062690861625</v>
      </c>
      <c r="AG38" s="10">
        <v>58727.24784506596</v>
      </c>
      <c r="AH38" s="10">
        <v>58466.33638750567</v>
      </c>
      <c r="AI38" s="10">
        <v>63906.09247080334</v>
      </c>
      <c r="AJ38" s="10">
        <v>63906.09247080334</v>
      </c>
      <c r="AK38" s="10"/>
      <c r="AL38" s="10">
        <v>29700.323543055554</v>
      </c>
      <c r="AM38" s="10">
        <v>35030.880000000005</v>
      </c>
      <c r="AN38" s="10">
        <v>32926.96</v>
      </c>
      <c r="AO38" s="10" t="s">
        <v>62</v>
      </c>
      <c r="AP38" s="10">
        <v>-25916.032061694958</v>
      </c>
      <c r="AQ38" s="10">
        <v>-25679.58784506596</v>
      </c>
      <c r="AR38" s="10">
        <v>-26773.359670803336</v>
      </c>
      <c r="AS38" s="10">
        <v>-23115.362752659996</v>
      </c>
      <c r="AT38" s="10">
        <v>-20871.872618162117</v>
      </c>
      <c r="AU38" s="10"/>
      <c r="AV38" s="10">
        <v>30702.030629166667</v>
      </c>
      <c r="AW38" s="10">
        <v>30702</v>
      </c>
      <c r="AX38" s="10">
        <v>35030.880000000005</v>
      </c>
      <c r="AY38" s="10">
        <v>28439</v>
      </c>
      <c r="AZ38" s="10">
        <v>37132.732800000005</v>
      </c>
      <c r="BA38" s="10">
        <v>40790.729718143346</v>
      </c>
      <c r="BB38" s="10">
        <v>43034.219852641225</v>
      </c>
      <c r="BD38" s="9">
        <v>11639</v>
      </c>
      <c r="BE38" s="13">
        <v>37.37914844888523</v>
      </c>
      <c r="BF38" s="13">
        <v>435055.9087965752</v>
      </c>
      <c r="BG38" s="14">
        <v>0.05119215455793576</v>
      </c>
      <c r="BM38" s="4">
        <v>77</v>
      </c>
      <c r="BN38" s="4">
        <v>4.666666666666671</v>
      </c>
      <c r="BO38" s="10">
        <v>28875</v>
      </c>
      <c r="BP38" s="10">
        <v>4051.959999999999</v>
      </c>
      <c r="BQ38" s="14">
        <v>0.14099553945207022</v>
      </c>
      <c r="BR38" s="14">
        <v>0.033333333333333263</v>
      </c>
      <c r="BS38" s="6">
        <v>0.06000000000000001</v>
      </c>
      <c r="BZ38" s="78"/>
      <c r="CA38" s="95"/>
    </row>
    <row r="39" spans="1:79" ht="15" hidden="1">
      <c r="A39" s="2" t="s">
        <v>122</v>
      </c>
      <c r="B39" s="15" t="s">
        <v>116</v>
      </c>
      <c r="C39" s="19">
        <v>1</v>
      </c>
      <c r="D39" s="23">
        <v>1</v>
      </c>
      <c r="E39" s="19"/>
      <c r="F39" s="23"/>
      <c r="G39" s="19"/>
      <c r="H39" s="18"/>
      <c r="I39" s="18"/>
      <c r="J39" s="18"/>
      <c r="L39" s="4">
        <v>87.66666666666667</v>
      </c>
      <c r="M39" s="3" t="s">
        <v>123</v>
      </c>
      <c r="O39" s="5">
        <v>1</v>
      </c>
      <c r="P39" s="6">
        <v>0.009038594799795128</v>
      </c>
      <c r="Q39" s="10">
        <v>1130.2340486929907</v>
      </c>
      <c r="R39" s="10">
        <v>5286.086589738184</v>
      </c>
      <c r="T39" s="10">
        <v>79116.60814883721</v>
      </c>
      <c r="U39" s="10">
        <v>8294.515180142038</v>
      </c>
      <c r="V39" s="10">
        <v>24436.070533927545</v>
      </c>
      <c r="W39" s="10">
        <v>-5383.240016492511</v>
      </c>
      <c r="X39" s="10">
        <v>8922.689669653113</v>
      </c>
      <c r="Y39" s="10">
        <v>-50108</v>
      </c>
      <c r="Z39" s="10">
        <v>8951.18702953098</v>
      </c>
      <c r="AB39" s="10">
        <v>40323.075592014786</v>
      </c>
      <c r="AC39" s="10">
        <v>30280.871411638007</v>
      </c>
      <c r="AD39" s="24">
        <v>70603.9470036528</v>
      </c>
      <c r="AE39" s="10"/>
      <c r="AF39" s="10">
        <v>61085.95462050258</v>
      </c>
      <c r="AG39" s="10">
        <v>62855.85218206518</v>
      </c>
      <c r="AH39" s="10">
        <v>62791.346029689186</v>
      </c>
      <c r="AI39" s="10">
        <v>70603.9470036528</v>
      </c>
      <c r="AJ39" s="10">
        <v>70603.9470036528</v>
      </c>
      <c r="AK39" s="10"/>
      <c r="AL39" s="10">
        <v>60222.2982068342</v>
      </c>
      <c r="AM39" s="10">
        <v>65025.94499999999</v>
      </c>
      <c r="AN39" s="10">
        <v>62979.64833333334</v>
      </c>
      <c r="AO39" s="10" t="s">
        <v>62</v>
      </c>
      <c r="AP39" s="10">
        <v>0</v>
      </c>
      <c r="AQ39" s="10">
        <v>0</v>
      </c>
      <c r="AR39" s="10">
        <v>-1676.4453036527993</v>
      </c>
      <c r="AS39" s="10">
        <v>0</v>
      </c>
      <c r="AT39" s="10">
        <v>0</v>
      </c>
      <c r="AU39" s="10"/>
      <c r="AV39" s="10">
        <v>61085.95462050258</v>
      </c>
      <c r="AW39" s="10">
        <v>61086</v>
      </c>
      <c r="AX39" s="10">
        <v>65025.94499999999</v>
      </c>
      <c r="AY39" s="10">
        <v>57948</v>
      </c>
      <c r="AZ39" s="10">
        <v>68927.5017</v>
      </c>
      <c r="BA39" s="10">
        <v>70603.9470036528</v>
      </c>
      <c r="BB39" s="10">
        <v>70603.9470036528</v>
      </c>
      <c r="BD39" s="9">
        <v>8223</v>
      </c>
      <c r="BE39" s="13">
        <v>22.684760060406933</v>
      </c>
      <c r="BF39" s="13">
        <v>186536.78197672623</v>
      </c>
      <c r="BG39" s="14">
        <v>0.021949408295837185</v>
      </c>
      <c r="BM39" s="4">
        <v>105</v>
      </c>
      <c r="BN39" s="4">
        <v>17.33333333333333</v>
      </c>
      <c r="BO39" s="10">
        <v>57191</v>
      </c>
      <c r="BP39" s="10">
        <v>5788.648333333338</v>
      </c>
      <c r="BQ39" s="14">
        <v>0.06449912101684681</v>
      </c>
      <c r="BR39" s="14">
        <v>-0.04363636363636363</v>
      </c>
      <c r="BS39" s="6">
        <v>0.060000000000000026</v>
      </c>
      <c r="BZ39" s="78"/>
      <c r="CA39" s="95"/>
    </row>
    <row r="40" spans="1:79" ht="15" hidden="1">
      <c r="A40" s="2" t="s">
        <v>124</v>
      </c>
      <c r="B40" s="15" t="s">
        <v>116</v>
      </c>
      <c r="C40" s="19">
        <v>1</v>
      </c>
      <c r="D40" s="23">
        <v>1</v>
      </c>
      <c r="E40" s="19"/>
      <c r="F40" s="23"/>
      <c r="G40" s="19"/>
      <c r="H40" s="18"/>
      <c r="I40" s="18"/>
      <c r="J40" s="18"/>
      <c r="L40" s="4">
        <v>128.33333333333334</v>
      </c>
      <c r="M40" s="3" t="s">
        <v>125</v>
      </c>
      <c r="O40" s="5">
        <v>1</v>
      </c>
      <c r="P40" s="6">
        <v>0.009038594799795128</v>
      </c>
      <c r="Q40" s="10">
        <v>1130.2340486929907</v>
      </c>
      <c r="R40" s="10">
        <v>5286.086589738184</v>
      </c>
      <c r="T40" s="10">
        <v>79116.60814883721</v>
      </c>
      <c r="U40" s="10">
        <v>8294.515180142038</v>
      </c>
      <c r="V40" s="10">
        <v>24436.070533927545</v>
      </c>
      <c r="W40" s="10">
        <v>-5383.240016492511</v>
      </c>
      <c r="X40" s="10">
        <v>8922.689669653113</v>
      </c>
      <c r="Y40" s="10">
        <v>-50108</v>
      </c>
      <c r="Z40" s="10">
        <v>8951.18702953098</v>
      </c>
      <c r="AB40" s="10">
        <v>40323.075592014786</v>
      </c>
      <c r="AC40" s="10">
        <v>44327.51138205563</v>
      </c>
      <c r="AD40" s="24">
        <v>84650.58697407041</v>
      </c>
      <c r="AE40" s="10"/>
      <c r="AF40" s="10">
        <v>78818.85313712132</v>
      </c>
      <c r="AG40" s="10">
        <v>76334.18667365811</v>
      </c>
      <c r="AH40" s="10">
        <v>76941.0864448752</v>
      </c>
      <c r="AI40" s="10">
        <v>84650.58697407041</v>
      </c>
      <c r="AJ40" s="10">
        <v>84650.58697407041</v>
      </c>
      <c r="AK40" s="10"/>
      <c r="AL40" s="10">
        <v>63002.36794055556</v>
      </c>
      <c r="AM40" s="10">
        <v>73222.68000000001</v>
      </c>
      <c r="AN40" s="10">
        <v>69031.56</v>
      </c>
      <c r="AO40" s="10" t="s">
        <v>54</v>
      </c>
      <c r="AP40" s="10">
        <v>-14024.59931545466</v>
      </c>
      <c r="AQ40" s="10">
        <v>-7256.66667365811</v>
      </c>
      <c r="AR40" s="10">
        <v>-7034.54617407039</v>
      </c>
      <c r="AS40" s="10">
        <v>0</v>
      </c>
      <c r="AT40" s="10">
        <v>0</v>
      </c>
      <c r="AU40" s="10"/>
      <c r="AV40" s="10">
        <v>64794.25382166666</v>
      </c>
      <c r="AW40" s="10">
        <v>64794</v>
      </c>
      <c r="AX40" s="10">
        <v>73222.68000000001</v>
      </c>
      <c r="AY40" s="10">
        <v>65325</v>
      </c>
      <c r="AZ40" s="10">
        <v>77616.04080000002</v>
      </c>
      <c r="BA40" s="10">
        <v>84650.58697407041</v>
      </c>
      <c r="BB40" s="10">
        <v>84650.58697407041</v>
      </c>
      <c r="BD40" s="9">
        <v>8882</v>
      </c>
      <c r="BE40" s="13">
        <v>17.491413524859198</v>
      </c>
      <c r="BF40" s="13">
        <v>155358.73492779938</v>
      </c>
      <c r="BG40" s="14">
        <v>0.01828075015082265</v>
      </c>
      <c r="BM40" s="4">
        <v>178</v>
      </c>
      <c r="BN40" s="4">
        <v>49.66666666666666</v>
      </c>
      <c r="BO40" s="10">
        <v>60050</v>
      </c>
      <c r="BP40" s="10">
        <v>8981.559999999998</v>
      </c>
      <c r="BQ40" s="14">
        <v>0.13007984012796756</v>
      </c>
      <c r="BR40" s="14">
        <v>-0.15011037527593812</v>
      </c>
      <c r="BS40" s="6">
        <v>0.06000000000000012</v>
      </c>
      <c r="BZ40" s="78"/>
      <c r="CA40" s="95"/>
    </row>
    <row r="41" spans="1:79" ht="15" hidden="1">
      <c r="A41" s="2" t="s">
        <v>126</v>
      </c>
      <c r="B41" s="15" t="s">
        <v>116</v>
      </c>
      <c r="C41" s="19">
        <v>1</v>
      </c>
      <c r="D41" s="23"/>
      <c r="E41" s="19"/>
      <c r="F41" s="23"/>
      <c r="G41" s="19"/>
      <c r="H41" s="18"/>
      <c r="I41" s="18"/>
      <c r="J41" s="18"/>
      <c r="L41" s="4">
        <v>63.666666666666664</v>
      </c>
      <c r="M41" s="3" t="s">
        <v>127</v>
      </c>
      <c r="O41" s="5">
        <v>1</v>
      </c>
      <c r="P41" s="6">
        <v>0.009038594799795128</v>
      </c>
      <c r="Q41" s="10">
        <v>1130.2340486929907</v>
      </c>
      <c r="R41" s="10">
        <v>5286.086589738184</v>
      </c>
      <c r="T41" s="10">
        <v>39558.30407441861</v>
      </c>
      <c r="U41" s="10">
        <v>4147.257590071019</v>
      </c>
      <c r="V41" s="10">
        <v>12218.035266963772</v>
      </c>
      <c r="W41" s="10">
        <v>-2691.6200082462556</v>
      </c>
      <c r="X41" s="10">
        <v>4461.3448348265565</v>
      </c>
      <c r="Y41" s="10">
        <v>0</v>
      </c>
      <c r="Z41" s="10">
        <v>8951.18702953098</v>
      </c>
      <c r="AB41" s="10">
        <v>36530.41471299793</v>
      </c>
      <c r="AC41" s="10">
        <v>21991.051101227597</v>
      </c>
      <c r="AD41" s="24">
        <v>58521.46581422553</v>
      </c>
      <c r="AE41" s="10"/>
      <c r="AF41" s="10">
        <v>55208.101729915215</v>
      </c>
      <c r="AG41" s="10">
        <v>54255.51179555939</v>
      </c>
      <c r="AH41" s="10">
        <v>53491.67870891621</v>
      </c>
      <c r="AI41" s="10">
        <v>58521.46581422553</v>
      </c>
      <c r="AJ41" s="10">
        <v>58521.46581422553</v>
      </c>
      <c r="AK41" s="10"/>
      <c r="AL41" s="10">
        <v>34619.152737055556</v>
      </c>
      <c r="AM41" s="10">
        <v>39952.46</v>
      </c>
      <c r="AN41" s="10">
        <v>37720.15333333333</v>
      </c>
      <c r="AO41" s="10" t="s">
        <v>62</v>
      </c>
      <c r="AP41" s="10">
        <v>-19691.143518748548</v>
      </c>
      <c r="AQ41" s="10">
        <v>-16564.721795559388</v>
      </c>
      <c r="AR41" s="10">
        <v>-16171.858214225525</v>
      </c>
      <c r="AS41" s="10">
        <v>-11792.81003953745</v>
      </c>
      <c r="AT41" s="10">
        <v>-9222.733971929607</v>
      </c>
      <c r="AU41" s="10"/>
      <c r="AV41" s="10">
        <v>35516.95821116667</v>
      </c>
      <c r="AW41" s="10">
        <v>35517</v>
      </c>
      <c r="AX41" s="10">
        <v>39952.46</v>
      </c>
      <c r="AY41" s="10">
        <v>35948</v>
      </c>
      <c r="AZ41" s="10">
        <v>42349.6076</v>
      </c>
      <c r="BA41" s="10">
        <v>46728.65577468808</v>
      </c>
      <c r="BB41" s="10">
        <v>49298.73184229592</v>
      </c>
      <c r="BD41" s="9">
        <v>9727</v>
      </c>
      <c r="BE41" s="13">
        <v>16.862502070157035</v>
      </c>
      <c r="BF41" s="13">
        <v>164021.55763641748</v>
      </c>
      <c r="BG41" s="14">
        <v>0.019300087091296048</v>
      </c>
      <c r="BM41" s="4">
        <v>79</v>
      </c>
      <c r="BN41" s="4">
        <v>15.333333333333336</v>
      </c>
      <c r="BO41" s="10">
        <v>32685</v>
      </c>
      <c r="BP41" s="10">
        <v>5035.153333333328</v>
      </c>
      <c r="BQ41" s="14">
        <v>0.1248840557364733</v>
      </c>
      <c r="BR41" s="14">
        <v>-0.11574074074074077</v>
      </c>
      <c r="BS41" s="6">
        <v>0.060000000000000095</v>
      </c>
      <c r="BZ41" s="78"/>
      <c r="CA41" s="95"/>
    </row>
    <row r="42" spans="1:79" ht="15" hidden="1">
      <c r="A42" s="2" t="s">
        <v>128</v>
      </c>
      <c r="B42" s="15" t="s">
        <v>116</v>
      </c>
      <c r="C42" s="19">
        <v>1</v>
      </c>
      <c r="D42" s="23"/>
      <c r="E42" s="19"/>
      <c r="F42" s="23">
        <v>0</v>
      </c>
      <c r="G42" s="19">
        <v>1</v>
      </c>
      <c r="H42" s="18"/>
      <c r="I42" s="18"/>
      <c r="J42" s="18"/>
      <c r="L42" s="4">
        <v>63.666666666666664</v>
      </c>
      <c r="M42" s="3" t="s">
        <v>129</v>
      </c>
      <c r="O42" s="5">
        <v>1.05</v>
      </c>
      <c r="P42" s="6">
        <v>0.009490524539784885</v>
      </c>
      <c r="Q42" s="10">
        <v>1186.7457511276402</v>
      </c>
      <c r="R42" s="10">
        <v>5550.390919225093</v>
      </c>
      <c r="T42" s="10">
        <v>39558.30407441861</v>
      </c>
      <c r="U42" s="10">
        <v>4147.257590071019</v>
      </c>
      <c r="V42" s="10">
        <v>12218.035266963772</v>
      </c>
      <c r="W42" s="10">
        <v>-2691.6200082462556</v>
      </c>
      <c r="X42" s="10">
        <v>8922.689669653113</v>
      </c>
      <c r="Y42" s="10">
        <v>0</v>
      </c>
      <c r="Z42" s="10">
        <v>8951.18702953098</v>
      </c>
      <c r="AB42" s="10">
        <v>38921.495146371984</v>
      </c>
      <c r="AC42" s="10">
        <v>21991.051101227597</v>
      </c>
      <c r="AD42" s="24">
        <v>60912.54624759958</v>
      </c>
      <c r="AE42" s="10"/>
      <c r="AF42" s="10">
        <v>59108.3935420589</v>
      </c>
      <c r="AG42" s="10">
        <v>60114.5155579831</v>
      </c>
      <c r="AH42" s="10">
        <v>58405.81219990664</v>
      </c>
      <c r="AI42" s="10">
        <v>60912.54624759958</v>
      </c>
      <c r="AJ42" s="10">
        <v>60912.54624759958</v>
      </c>
      <c r="AK42" s="10"/>
      <c r="AL42" s="10">
        <v>32187.22823311111</v>
      </c>
      <c r="AM42" s="10">
        <v>37145.58</v>
      </c>
      <c r="AN42" s="10">
        <v>35070.193333333336</v>
      </c>
      <c r="AO42" s="10" t="s">
        <v>62</v>
      </c>
      <c r="AP42" s="10">
        <v>-26086.378842725564</v>
      </c>
      <c r="AQ42" s="10">
        <v>-25071.445557983097</v>
      </c>
      <c r="AR42" s="10">
        <v>-21538.231447599574</v>
      </c>
      <c r="AS42" s="10">
        <v>-17466.726244081714</v>
      </c>
      <c r="AT42" s="10">
        <v>-15077.20614388823</v>
      </c>
      <c r="AU42" s="10"/>
      <c r="AV42" s="10">
        <v>33022.01469933333</v>
      </c>
      <c r="AW42" s="10">
        <v>33022</v>
      </c>
      <c r="AX42" s="10">
        <v>37145.58</v>
      </c>
      <c r="AY42" s="10">
        <v>31853</v>
      </c>
      <c r="AZ42" s="10">
        <v>39374.31480000001</v>
      </c>
      <c r="BA42" s="10">
        <v>43445.82000351787</v>
      </c>
      <c r="BB42" s="10">
        <v>45835.34010371135</v>
      </c>
      <c r="BD42" s="9">
        <v>12304</v>
      </c>
      <c r="BE42" s="13">
        <v>8.06920104962988</v>
      </c>
      <c r="BF42" s="13">
        <v>99283.44971464605</v>
      </c>
      <c r="BG42" s="14">
        <v>0.011682484021182918</v>
      </c>
      <c r="BM42" s="4">
        <v>105</v>
      </c>
      <c r="BN42" s="4">
        <v>41.333333333333336</v>
      </c>
      <c r="BO42" s="10">
        <v>30389</v>
      </c>
      <c r="BP42" s="10">
        <v>4681.193333333336</v>
      </c>
      <c r="BQ42" s="14">
        <v>0.12487321982658792</v>
      </c>
      <c r="BR42" s="14">
        <v>-0.18723404255319148</v>
      </c>
      <c r="BS42" s="6">
        <v>0.06000000000000015</v>
      </c>
      <c r="BZ42" s="78"/>
      <c r="CA42" s="95"/>
    </row>
    <row r="43" spans="1:79" ht="15" hidden="1">
      <c r="A43" s="2" t="s">
        <v>130</v>
      </c>
      <c r="B43" s="15" t="s">
        <v>116</v>
      </c>
      <c r="C43" s="19">
        <v>1</v>
      </c>
      <c r="D43" s="23"/>
      <c r="E43" s="19"/>
      <c r="F43" s="23"/>
      <c r="G43" s="19">
        <v>2</v>
      </c>
      <c r="H43" s="18"/>
      <c r="I43" s="18"/>
      <c r="J43" s="18"/>
      <c r="L43" s="4">
        <v>97.66666666666666</v>
      </c>
      <c r="M43" s="3" t="s">
        <v>131</v>
      </c>
      <c r="O43" s="5">
        <v>1.1</v>
      </c>
      <c r="P43" s="6">
        <v>0.009942454279774643</v>
      </c>
      <c r="Q43" s="10">
        <v>1243.25745356229</v>
      </c>
      <c r="R43" s="10">
        <v>5814.695248712003</v>
      </c>
      <c r="T43" s="10">
        <v>39558.30407441861</v>
      </c>
      <c r="U43" s="10">
        <v>4147.257590071019</v>
      </c>
      <c r="V43" s="10">
        <v>12218.035266963772</v>
      </c>
      <c r="W43" s="10">
        <v>-2691.6200082462556</v>
      </c>
      <c r="X43" s="10">
        <v>13384.034504479667</v>
      </c>
      <c r="Y43" s="10">
        <v>0</v>
      </c>
      <c r="Z43" s="10">
        <v>8951.18702953098</v>
      </c>
      <c r="AB43" s="10">
        <v>41312.575579746044</v>
      </c>
      <c r="AC43" s="10">
        <v>33734.96320764233</v>
      </c>
      <c r="AD43" s="24">
        <v>75047.53878738837</v>
      </c>
      <c r="AE43" s="10"/>
      <c r="AF43" s="10">
        <v>65086.155838317994</v>
      </c>
      <c r="AG43" s="10">
        <v>65455.74944156756</v>
      </c>
      <c r="AH43" s="10">
        <v>68225.43866691343</v>
      </c>
      <c r="AI43" s="10">
        <v>75047.53878738837</v>
      </c>
      <c r="AJ43" s="10">
        <v>75047.53878738837</v>
      </c>
      <c r="AK43" s="10"/>
      <c r="AL43" s="10">
        <v>38989.42556533333</v>
      </c>
      <c r="AM43" s="10">
        <v>38225.72</v>
      </c>
      <c r="AN43" s="10">
        <v>36104.24</v>
      </c>
      <c r="AO43" s="10" t="s">
        <v>62</v>
      </c>
      <c r="AP43" s="10">
        <v>-31060.68914231799</v>
      </c>
      <c r="AQ43" s="10">
        <v>-29394.06944156756</v>
      </c>
      <c r="AR43" s="10">
        <v>-34528.27558738837</v>
      </c>
      <c r="AS43" s="10">
        <v>-30320.716283307236</v>
      </c>
      <c r="AT43" s="10">
        <v>-27860.74104558277</v>
      </c>
      <c r="AU43" s="10"/>
      <c r="AV43" s="10">
        <v>34025.466696</v>
      </c>
      <c r="AW43" s="10">
        <v>34025</v>
      </c>
      <c r="AX43" s="10">
        <v>38225.72</v>
      </c>
      <c r="AY43" s="10">
        <v>33576</v>
      </c>
      <c r="AZ43" s="10">
        <v>40519.2632</v>
      </c>
      <c r="BA43" s="10">
        <v>44726.82250408114</v>
      </c>
      <c r="BB43" s="10">
        <v>47186.7977418056</v>
      </c>
      <c r="BD43" s="9">
        <v>8100</v>
      </c>
      <c r="BE43" s="13">
        <v>10.412354657544917</v>
      </c>
      <c r="BF43" s="13">
        <v>84340.07272611382</v>
      </c>
      <c r="BG43" s="14">
        <v>0.009924126879153766</v>
      </c>
      <c r="BM43" s="4">
        <v>121</v>
      </c>
      <c r="BN43" s="4">
        <v>23.333333333333343</v>
      </c>
      <c r="BO43" s="10">
        <v>31099</v>
      </c>
      <c r="BP43" s="10">
        <v>5005.239999999998</v>
      </c>
      <c r="BQ43" s="14">
        <v>0.1234443995001478</v>
      </c>
      <c r="BR43" s="14">
        <v>-0.006779661016949201</v>
      </c>
      <c r="BS43" s="6">
        <v>0.06</v>
      </c>
      <c r="BZ43" s="78"/>
      <c r="CA43" s="95"/>
    </row>
    <row r="44" spans="1:79" ht="15" hidden="1">
      <c r="A44" s="2" t="s">
        <v>132</v>
      </c>
      <c r="B44" s="15" t="s">
        <v>116</v>
      </c>
      <c r="C44" s="19">
        <v>1</v>
      </c>
      <c r="D44" s="23"/>
      <c r="E44" s="19"/>
      <c r="F44" s="23"/>
      <c r="G44" s="19"/>
      <c r="H44" s="18"/>
      <c r="I44" s="18"/>
      <c r="J44" s="18"/>
      <c r="L44" s="4">
        <v>91</v>
      </c>
      <c r="M44" s="3" t="s">
        <v>133</v>
      </c>
      <c r="O44" s="5">
        <v>1</v>
      </c>
      <c r="P44" s="6">
        <v>0.009038594799795128</v>
      </c>
      <c r="Q44" s="10">
        <v>1130.2340486929907</v>
      </c>
      <c r="R44" s="10">
        <v>5286.086589738184</v>
      </c>
      <c r="T44" s="10">
        <v>39558.30407441861</v>
      </c>
      <c r="U44" s="10">
        <v>4147.257590071019</v>
      </c>
      <c r="V44" s="10">
        <v>12218.035266963772</v>
      </c>
      <c r="W44" s="10">
        <v>-2691.6200082462556</v>
      </c>
      <c r="X44" s="10">
        <v>4461.3448348265565</v>
      </c>
      <c r="Y44" s="10">
        <v>0</v>
      </c>
      <c r="Z44" s="10">
        <v>8951.18702953098</v>
      </c>
      <c r="AB44" s="10">
        <v>36530.41471299793</v>
      </c>
      <c r="AC44" s="10">
        <v>31432.235343639448</v>
      </c>
      <c r="AD44" s="24">
        <v>67962.65005663739</v>
      </c>
      <c r="AE44" s="10"/>
      <c r="AF44" s="10">
        <v>64473.19187948513</v>
      </c>
      <c r="AG44" s="10">
        <v>63665.295983148084</v>
      </c>
      <c r="AH44" s="10">
        <v>61533.61750603631</v>
      </c>
      <c r="AI44" s="10">
        <v>67962.65005663739</v>
      </c>
      <c r="AJ44" s="10">
        <v>67962.65005663739</v>
      </c>
      <c r="AK44" s="10"/>
      <c r="AL44" s="10">
        <v>64029.033959828375</v>
      </c>
      <c r="AM44" s="10">
        <v>65863.26</v>
      </c>
      <c r="AN44" s="10">
        <v>64657.420000000006</v>
      </c>
      <c r="AO44" s="10" t="s">
        <v>62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/>
      <c r="AV44" s="10">
        <v>64473.19187948513</v>
      </c>
      <c r="AW44" s="10">
        <v>64473</v>
      </c>
      <c r="AX44" s="10">
        <v>65863.26</v>
      </c>
      <c r="AY44" s="10">
        <v>67072</v>
      </c>
      <c r="AZ44" s="10">
        <v>67962.65005663739</v>
      </c>
      <c r="BA44" s="10">
        <v>67962.65005663739</v>
      </c>
      <c r="BB44" s="10">
        <v>67962.65005663739</v>
      </c>
      <c r="BD44" s="9">
        <v>7979</v>
      </c>
      <c r="BE44" s="13">
        <v>9.288955726138214</v>
      </c>
      <c r="BF44" s="13">
        <v>74116.57773885681</v>
      </c>
      <c r="BG44" s="14">
        <v>0.00872114876777117</v>
      </c>
      <c r="BM44" s="4">
        <v>125</v>
      </c>
      <c r="BN44" s="4">
        <v>34</v>
      </c>
      <c r="BO44" s="10">
        <v>61033</v>
      </c>
      <c r="BP44" s="10">
        <v>3624.4200000000055</v>
      </c>
      <c r="BQ44" s="14">
        <v>0.021560404875148948</v>
      </c>
      <c r="BR44" s="14">
        <v>-0.11650485436893204</v>
      </c>
      <c r="BS44" s="6">
        <v>0.03187497941397666</v>
      </c>
      <c r="BZ44" s="78"/>
      <c r="CA44" s="95"/>
    </row>
    <row r="45" spans="1:79" ht="15" hidden="1">
      <c r="A45" s="2" t="s">
        <v>134</v>
      </c>
      <c r="B45" s="15" t="s">
        <v>116</v>
      </c>
      <c r="C45" s="19">
        <v>1</v>
      </c>
      <c r="D45" s="23">
        <v>1</v>
      </c>
      <c r="E45" s="19"/>
      <c r="F45" s="23"/>
      <c r="G45" s="19"/>
      <c r="H45" s="18"/>
      <c r="I45" s="18"/>
      <c r="J45" s="18"/>
      <c r="L45" s="4">
        <v>99.66666666666667</v>
      </c>
      <c r="M45" s="3" t="s">
        <v>135</v>
      </c>
      <c r="O45" s="5">
        <v>1</v>
      </c>
      <c r="P45" s="6">
        <v>0.009038594799795128</v>
      </c>
      <c r="Q45" s="10">
        <v>1130.2340486929907</v>
      </c>
      <c r="R45" s="10">
        <v>5286.086589738184</v>
      </c>
      <c r="T45" s="10">
        <v>79116.60814883721</v>
      </c>
      <c r="U45" s="10">
        <v>8294.515180142038</v>
      </c>
      <c r="V45" s="10">
        <v>24436.070533927545</v>
      </c>
      <c r="W45" s="10">
        <v>-5383.240016492511</v>
      </c>
      <c r="X45" s="10">
        <v>8922.689669653113</v>
      </c>
      <c r="Y45" s="10">
        <v>-50108</v>
      </c>
      <c r="Z45" s="10">
        <v>8951.18702953098</v>
      </c>
      <c r="AB45" s="10">
        <v>40323.075592014786</v>
      </c>
      <c r="AC45" s="10">
        <v>34425.7815668432</v>
      </c>
      <c r="AD45" s="24">
        <v>74748.85715885798</v>
      </c>
      <c r="AE45" s="10"/>
      <c r="AF45" s="10">
        <v>69952.26148860817</v>
      </c>
      <c r="AG45" s="10">
        <v>69605.68507715652</v>
      </c>
      <c r="AH45" s="10">
        <v>69000.94434138952</v>
      </c>
      <c r="AI45" s="10">
        <v>74748.85715885798</v>
      </c>
      <c r="AJ45" s="10">
        <v>74748.85715885798</v>
      </c>
      <c r="AK45" s="10"/>
      <c r="AL45" s="10">
        <v>60403.110675777774</v>
      </c>
      <c r="AM45" s="10">
        <v>68951.35273719233</v>
      </c>
      <c r="AN45" s="10">
        <v>65446.11757906411</v>
      </c>
      <c r="AO45" s="10" t="s">
        <v>62</v>
      </c>
      <c r="AP45" s="10">
        <v>-8323.869461274837</v>
      </c>
      <c r="AQ45" s="10">
        <v>-3847.0650771565124</v>
      </c>
      <c r="AR45" s="10">
        <v>-1660.423257434115</v>
      </c>
      <c r="AS45" s="10">
        <v>0</v>
      </c>
      <c r="AT45" s="10">
        <v>0</v>
      </c>
      <c r="AU45" s="10"/>
      <c r="AV45" s="10">
        <v>61628.392027333335</v>
      </c>
      <c r="AW45" s="10">
        <v>61628</v>
      </c>
      <c r="AX45" s="10">
        <v>68951.35273719233</v>
      </c>
      <c r="AY45" s="10">
        <v>62111</v>
      </c>
      <c r="AZ45" s="10">
        <v>73088.43390142386</v>
      </c>
      <c r="BA45" s="10">
        <v>74748.85715885798</v>
      </c>
      <c r="BB45" s="10">
        <v>74748.85715885798</v>
      </c>
      <c r="BD45" s="9">
        <v>11604</v>
      </c>
      <c r="BE45" s="13">
        <v>29.700526276756463</v>
      </c>
      <c r="BF45" s="13">
        <v>344644.906915482</v>
      </c>
      <c r="BG45" s="14">
        <v>0.04055367364444269</v>
      </c>
      <c r="BM45" s="4">
        <v>138</v>
      </c>
      <c r="BN45" s="4">
        <v>38.33333333333333</v>
      </c>
      <c r="BO45" s="10">
        <v>57191</v>
      </c>
      <c r="BP45" s="10">
        <v>8255.117579064106</v>
      </c>
      <c r="BQ45" s="14">
        <v>0.11882446497405161</v>
      </c>
      <c r="BR45" s="14">
        <v>-0.1785714285714285</v>
      </c>
      <c r="BS45" s="6">
        <v>0.059999999999999984</v>
      </c>
      <c r="BZ45" s="78"/>
      <c r="CA45" s="95"/>
    </row>
    <row r="46" spans="1:79" ht="15" hidden="1">
      <c r="A46" s="2" t="s">
        <v>136</v>
      </c>
      <c r="B46" s="15" t="s">
        <v>116</v>
      </c>
      <c r="C46" s="19">
        <v>1</v>
      </c>
      <c r="D46" s="23"/>
      <c r="E46" s="19"/>
      <c r="F46" s="23"/>
      <c r="G46" s="19"/>
      <c r="H46" s="18"/>
      <c r="I46" s="18"/>
      <c r="J46" s="18"/>
      <c r="L46" s="4">
        <v>24.333333333333332</v>
      </c>
      <c r="M46" s="3" t="s">
        <v>137</v>
      </c>
      <c r="O46" s="5">
        <v>1</v>
      </c>
      <c r="P46" s="6">
        <v>0.009038594799795128</v>
      </c>
      <c r="Q46" s="10">
        <v>1130.2340486929907</v>
      </c>
      <c r="R46" s="10">
        <v>5286.086589738184</v>
      </c>
      <c r="T46" s="10">
        <v>39558.30407441861</v>
      </c>
      <c r="U46" s="10">
        <v>4147.257590071019</v>
      </c>
      <c r="V46" s="10">
        <v>12218.035266963772</v>
      </c>
      <c r="W46" s="10">
        <v>-2691.6200082462556</v>
      </c>
      <c r="X46" s="10">
        <v>4461.3448348265565</v>
      </c>
      <c r="Y46" s="10">
        <v>0</v>
      </c>
      <c r="Z46" s="10">
        <v>8951.18702953098</v>
      </c>
      <c r="AB46" s="10">
        <v>36530.41471299793</v>
      </c>
      <c r="AC46" s="10">
        <v>8404.956703610547</v>
      </c>
      <c r="AD46" s="24">
        <v>44935.37141660848</v>
      </c>
      <c r="AE46" s="10"/>
      <c r="AF46" s="10">
        <v>40862.15569187148</v>
      </c>
      <c r="AG46" s="10">
        <v>41304.41097823301</v>
      </c>
      <c r="AH46" s="10">
        <v>41174.278779149965</v>
      </c>
      <c r="AI46" s="10">
        <v>44935.37141660848</v>
      </c>
      <c r="AJ46" s="10">
        <v>44935.37141660848</v>
      </c>
      <c r="AK46" s="10"/>
      <c r="AL46" s="10">
        <v>20911.632639944444</v>
      </c>
      <c r="AM46" s="10">
        <v>14668.279999999999</v>
      </c>
      <c r="AN46" s="10">
        <v>15009.093333333332</v>
      </c>
      <c r="AO46" s="10" t="s">
        <v>62</v>
      </c>
      <c r="AP46" s="10">
        <v>-24341.297772038146</v>
      </c>
      <c r="AQ46" s="10">
        <v>-26178.44097823301</v>
      </c>
      <c r="AR46" s="10">
        <v>-29386.994616608485</v>
      </c>
      <c r="AS46" s="10">
        <v>-26341.736611743803</v>
      </c>
      <c r="AT46" s="10">
        <v>-25319.086697476247</v>
      </c>
      <c r="AU46" s="10"/>
      <c r="AV46" s="10">
        <v>16520.857919833332</v>
      </c>
      <c r="AW46" s="10">
        <v>16521</v>
      </c>
      <c r="AX46" s="10">
        <v>14668.279999999999</v>
      </c>
      <c r="AY46" s="10">
        <v>13687</v>
      </c>
      <c r="AZ46" s="10">
        <v>15548.376799999998</v>
      </c>
      <c r="BA46" s="10">
        <v>18593.63480486468</v>
      </c>
      <c r="BB46" s="10">
        <v>19616.284719132236</v>
      </c>
      <c r="BD46" s="9">
        <v>6868</v>
      </c>
      <c r="BE46" s="13">
        <v>37.426863520728176</v>
      </c>
      <c r="BF46" s="13">
        <v>257047.69866036111</v>
      </c>
      <c r="BG46" s="14">
        <v>0.030246286172694523</v>
      </c>
      <c r="BM46" s="4">
        <v>27</v>
      </c>
      <c r="BN46" s="4">
        <v>2.666666666666668</v>
      </c>
      <c r="BO46" s="10">
        <v>12000</v>
      </c>
      <c r="BP46" s="10">
        <v>3009.0933333333323</v>
      </c>
      <c r="BQ46" s="14">
        <v>-0.11213569711832631</v>
      </c>
      <c r="BR46" s="14">
        <v>0.01388888888888884</v>
      </c>
      <c r="BS46" s="6">
        <v>0.05999999999999996</v>
      </c>
      <c r="BZ46" s="78"/>
      <c r="CA46" s="95"/>
    </row>
    <row r="47" spans="1:79" ht="15" hidden="1">
      <c r="A47" s="2" t="s">
        <v>138</v>
      </c>
      <c r="B47" s="15" t="s">
        <v>116</v>
      </c>
      <c r="C47" s="19">
        <v>1</v>
      </c>
      <c r="D47" s="23"/>
      <c r="E47" s="19"/>
      <c r="F47" s="23"/>
      <c r="G47" s="19"/>
      <c r="H47" s="18"/>
      <c r="I47" s="18"/>
      <c r="J47" s="18"/>
      <c r="L47" s="4">
        <v>72.33333333333333</v>
      </c>
      <c r="M47" s="3" t="s">
        <v>139</v>
      </c>
      <c r="O47" s="5">
        <v>1</v>
      </c>
      <c r="P47" s="6">
        <v>0.009038594799795128</v>
      </c>
      <c r="Q47" s="10">
        <v>1130.2340486929907</v>
      </c>
      <c r="R47" s="10">
        <v>5286.086589738184</v>
      </c>
      <c r="T47" s="10">
        <v>39558.30407441861</v>
      </c>
      <c r="U47" s="10">
        <v>4147.257590071019</v>
      </c>
      <c r="V47" s="10">
        <v>12218.035266963772</v>
      </c>
      <c r="W47" s="10">
        <v>-2691.6200082462556</v>
      </c>
      <c r="X47" s="10">
        <v>4461.3448348265565</v>
      </c>
      <c r="Y47" s="10">
        <v>0</v>
      </c>
      <c r="Z47" s="10">
        <v>8951.18702953098</v>
      </c>
      <c r="AB47" s="10">
        <v>36530.41471299793</v>
      </c>
      <c r="AC47" s="10">
        <v>24984.597324431354</v>
      </c>
      <c r="AD47" s="24">
        <v>61515.01203742929</v>
      </c>
      <c r="AE47" s="10"/>
      <c r="AF47" s="10">
        <v>56802.09573414229</v>
      </c>
      <c r="AG47" s="10">
        <v>57695.64795016171</v>
      </c>
      <c r="AH47" s="10">
        <v>56036.596049777</v>
      </c>
      <c r="AI47" s="10">
        <v>61515.01203742929</v>
      </c>
      <c r="AJ47" s="10">
        <v>61515.01203742929</v>
      </c>
      <c r="AK47" s="10"/>
      <c r="AL47" s="10">
        <v>40977.837253722224</v>
      </c>
      <c r="AM47" s="10">
        <v>48091.14</v>
      </c>
      <c r="AN47" s="10">
        <v>44772.04666666667</v>
      </c>
      <c r="AO47" s="10" t="s">
        <v>62</v>
      </c>
      <c r="AP47" s="10">
        <v>-15946.193972975627</v>
      </c>
      <c r="AQ47" s="10">
        <v>-12326.987950161703</v>
      </c>
      <c r="AR47" s="10">
        <v>-10538.403637429285</v>
      </c>
      <c r="AS47" s="10">
        <v>-6050.296967829767</v>
      </c>
      <c r="AT47" s="10">
        <v>-2999.737639001796</v>
      </c>
      <c r="AU47" s="10"/>
      <c r="AV47" s="10">
        <v>40855.901761166664</v>
      </c>
      <c r="AW47" s="10">
        <v>40856</v>
      </c>
      <c r="AX47" s="10">
        <v>48091.14</v>
      </c>
      <c r="AY47" s="10">
        <v>33500</v>
      </c>
      <c r="AZ47" s="10">
        <v>50976.608400000005</v>
      </c>
      <c r="BA47" s="10">
        <v>55464.71506959952</v>
      </c>
      <c r="BB47" s="10">
        <v>58515.27439842749</v>
      </c>
      <c r="BD47" s="9">
        <v>12968</v>
      </c>
      <c r="BE47" s="13">
        <v>10.93748355842899</v>
      </c>
      <c r="BF47" s="13">
        <v>141837.28678570714</v>
      </c>
      <c r="BG47" s="14">
        <v>0.01668970851883609</v>
      </c>
      <c r="BM47" s="4">
        <v>93</v>
      </c>
      <c r="BN47" s="4">
        <v>20.66666666666667</v>
      </c>
      <c r="BO47" s="10">
        <v>37598</v>
      </c>
      <c r="BP47" s="10">
        <v>7174.046666666669</v>
      </c>
      <c r="BQ47" s="14">
        <v>0.1770916300202776</v>
      </c>
      <c r="BR47" s="14">
        <v>-0.06465517241379311</v>
      </c>
      <c r="BS47" s="6">
        <v>0.06000000000000011</v>
      </c>
      <c r="BZ47" s="78"/>
      <c r="CA47" s="95"/>
    </row>
    <row r="48" spans="1:79" ht="15" hidden="1">
      <c r="A48" s="2" t="s">
        <v>140</v>
      </c>
      <c r="B48" s="15" t="s">
        <v>116</v>
      </c>
      <c r="C48" s="19">
        <v>1</v>
      </c>
      <c r="D48" s="23"/>
      <c r="E48" s="19"/>
      <c r="F48" s="23"/>
      <c r="G48" s="19"/>
      <c r="H48" s="18"/>
      <c r="I48" s="18"/>
      <c r="J48" s="18"/>
      <c r="L48" s="4">
        <v>33.333333333333336</v>
      </c>
      <c r="M48" s="3" t="s">
        <v>141</v>
      </c>
      <c r="O48" s="5">
        <v>1</v>
      </c>
      <c r="P48" s="6">
        <v>0.009038594799795128</v>
      </c>
      <c r="Q48" s="10">
        <v>1130.2340486929907</v>
      </c>
      <c r="R48" s="10">
        <v>5286.086589738184</v>
      </c>
      <c r="T48" s="10">
        <v>39558.30407441861</v>
      </c>
      <c r="U48" s="10">
        <v>4147.257590071019</v>
      </c>
      <c r="V48" s="10">
        <v>12218.035266963772</v>
      </c>
      <c r="W48" s="10">
        <v>-2691.6200082462556</v>
      </c>
      <c r="X48" s="10">
        <v>4461.3448348265565</v>
      </c>
      <c r="Y48" s="10">
        <v>0</v>
      </c>
      <c r="Z48" s="10">
        <v>8951.18702953098</v>
      </c>
      <c r="AB48" s="10">
        <v>36530.41471299793</v>
      </c>
      <c r="AC48" s="10">
        <v>11513.63932001445</v>
      </c>
      <c r="AD48" s="24">
        <v>48044.054033012384</v>
      </c>
      <c r="AE48" s="10"/>
      <c r="AF48" s="10">
        <v>47437.38095930819</v>
      </c>
      <c r="AG48" s="10">
        <v>48184.68328743765</v>
      </c>
      <c r="AH48" s="10">
        <v>45755.129992699396</v>
      </c>
      <c r="AI48" s="10">
        <v>48044.054033012384</v>
      </c>
      <c r="AJ48" s="10">
        <v>48044.054033012384</v>
      </c>
      <c r="AK48" s="10"/>
      <c r="AL48" s="10">
        <v>16364.612777777778</v>
      </c>
      <c r="AM48" s="10">
        <v>18886.02</v>
      </c>
      <c r="AN48" s="10">
        <v>17830.673333333336</v>
      </c>
      <c r="AO48" s="10" t="s">
        <v>62</v>
      </c>
      <c r="AP48" s="10">
        <v>-30648.46262597486</v>
      </c>
      <c r="AQ48" s="10">
        <v>-30368.073287437648</v>
      </c>
      <c r="AR48" s="10">
        <v>-28024.87283301238</v>
      </c>
      <c r="AS48" s="10">
        <v>-25954.976370437213</v>
      </c>
      <c r="AT48" s="10">
        <v>-24740.07709899558</v>
      </c>
      <c r="AU48" s="10"/>
      <c r="AV48" s="10">
        <v>16788.91833333333</v>
      </c>
      <c r="AW48" s="10">
        <v>16789</v>
      </c>
      <c r="AX48" s="10">
        <v>18886.02</v>
      </c>
      <c r="AY48" s="10">
        <v>15966</v>
      </c>
      <c r="AZ48" s="10">
        <v>20019.181200000003</v>
      </c>
      <c r="BA48" s="10">
        <v>22089.07766257517</v>
      </c>
      <c r="BB48" s="10">
        <v>23303.976934016802</v>
      </c>
      <c r="BD48" s="9">
        <v>9152</v>
      </c>
      <c r="BE48" s="13">
        <v>16.242634389627423</v>
      </c>
      <c r="BF48" s="13">
        <v>148652.5899338702</v>
      </c>
      <c r="BG48" s="14">
        <v>0.017491651545158908</v>
      </c>
      <c r="BM48" s="4">
        <v>50</v>
      </c>
      <c r="BN48" s="4">
        <v>16.666666666666664</v>
      </c>
      <c r="BO48" s="10">
        <v>15450</v>
      </c>
      <c r="BP48" s="10">
        <v>2380.673333333336</v>
      </c>
      <c r="BQ48" s="14">
        <v>0.1249098735862576</v>
      </c>
      <c r="BR48" s="14">
        <v>-0.27536231884057966</v>
      </c>
      <c r="BS48" s="6">
        <v>0.06000000000000012</v>
      </c>
      <c r="BZ48" s="78"/>
      <c r="CA48" s="95"/>
    </row>
    <row r="49" spans="1:79" ht="15" hidden="1">
      <c r="A49" s="2" t="s">
        <v>142</v>
      </c>
      <c r="B49" s="15" t="s">
        <v>116</v>
      </c>
      <c r="C49" s="19">
        <v>0.5</v>
      </c>
      <c r="D49" s="23"/>
      <c r="E49" s="19"/>
      <c r="F49" s="23"/>
      <c r="G49" s="19">
        <v>1</v>
      </c>
      <c r="H49" s="18"/>
      <c r="I49" s="18"/>
      <c r="J49" s="18"/>
      <c r="L49" s="4">
        <v>27.666666666666668</v>
      </c>
      <c r="M49" s="3" t="s">
        <v>143</v>
      </c>
      <c r="O49" s="5">
        <v>0.55</v>
      </c>
      <c r="P49" s="6">
        <v>0.004971227139887321</v>
      </c>
      <c r="Q49" s="10">
        <v>621.628726781145</v>
      </c>
      <c r="R49" s="10">
        <v>2907.3476243560017</v>
      </c>
      <c r="T49" s="10">
        <v>19779.152037209304</v>
      </c>
      <c r="U49" s="10">
        <v>2073.6287950355095</v>
      </c>
      <c r="V49" s="10">
        <v>6109.017633481886</v>
      </c>
      <c r="W49" s="10">
        <v>-1345.8100041231278</v>
      </c>
      <c r="X49" s="10">
        <v>6692.017252239833</v>
      </c>
      <c r="Y49" s="10">
        <v>0</v>
      </c>
      <c r="Z49" s="10">
        <v>4475.59351476549</v>
      </c>
      <c r="AB49" s="10">
        <v>20656.287789873022</v>
      </c>
      <c r="AC49" s="10">
        <v>9556.320635611994</v>
      </c>
      <c r="AD49" s="24">
        <v>30212.608425485014</v>
      </c>
      <c r="AE49" s="10"/>
      <c r="AF49" s="10">
        <v>30144.47880919452</v>
      </c>
      <c r="AG49" s="10">
        <v>28341.92159940404</v>
      </c>
      <c r="AH49" s="10">
        <v>26644.042660823674</v>
      </c>
      <c r="AI49" s="10">
        <v>30212.608425485014</v>
      </c>
      <c r="AJ49" s="10">
        <v>30212.608425485014</v>
      </c>
      <c r="AK49" s="10"/>
      <c r="AL49" s="10">
        <v>37471.565444444444</v>
      </c>
      <c r="AM49" s="10">
        <v>30390.704999999998</v>
      </c>
      <c r="AN49" s="10">
        <v>30837.568333333333</v>
      </c>
      <c r="AO49" s="10" t="s">
        <v>62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/>
      <c r="AV49" s="10">
        <v>32758.616333333335</v>
      </c>
      <c r="AW49" s="10">
        <v>32759</v>
      </c>
      <c r="AX49" s="10">
        <v>30390.704999999998</v>
      </c>
      <c r="AY49" s="10">
        <v>29253</v>
      </c>
      <c r="AZ49" s="10">
        <v>30390.704999999998</v>
      </c>
      <c r="BA49" s="10">
        <v>30837.568333333333</v>
      </c>
      <c r="BB49" s="10">
        <v>30837.568333333333</v>
      </c>
      <c r="BD49" s="9">
        <v>2296</v>
      </c>
      <c r="BE49" s="13">
        <v>9.81</v>
      </c>
      <c r="BF49" s="13">
        <v>22523.760000000002</v>
      </c>
      <c r="BG49" s="14">
        <v>0.002650325578464889</v>
      </c>
      <c r="BM49" s="4">
        <v>49</v>
      </c>
      <c r="BN49" s="4">
        <v>21.333333333333332</v>
      </c>
      <c r="BO49" s="10">
        <v>28595</v>
      </c>
      <c r="BP49" s="10">
        <v>2242.5683333333327</v>
      </c>
      <c r="BQ49" s="14">
        <v>-0.07228361873526029</v>
      </c>
      <c r="BR49" s="14">
        <v>-0.3782771535580524</v>
      </c>
      <c r="BS49" s="6">
        <v>0</v>
      </c>
      <c r="BZ49" s="78"/>
      <c r="CA49" s="95"/>
    </row>
    <row r="50" spans="1:79" ht="30" hidden="1">
      <c r="A50" s="2" t="s">
        <v>144</v>
      </c>
      <c r="B50" s="15" t="s">
        <v>145</v>
      </c>
      <c r="C50" s="19">
        <v>1</v>
      </c>
      <c r="D50" s="23"/>
      <c r="E50" s="19">
        <v>1</v>
      </c>
      <c r="F50" s="23"/>
      <c r="G50" s="19"/>
      <c r="H50" s="18"/>
      <c r="I50" s="18"/>
      <c r="J50" s="18"/>
      <c r="L50" s="4">
        <v>140.66666666666666</v>
      </c>
      <c r="M50" s="3" t="s">
        <v>146</v>
      </c>
      <c r="O50" s="5">
        <v>1.3333333333333333</v>
      </c>
      <c r="P50" s="6">
        <v>0.01205145973306017</v>
      </c>
      <c r="Q50" s="10">
        <v>1506.9787315906542</v>
      </c>
      <c r="R50" s="10">
        <v>7048.115452984245</v>
      </c>
      <c r="T50" s="10">
        <v>39558.30407441861</v>
      </c>
      <c r="U50" s="10">
        <v>8294.515180142038</v>
      </c>
      <c r="V50" s="10">
        <v>24436.070533927545</v>
      </c>
      <c r="W50" s="10">
        <v>-3479.286612538469</v>
      </c>
      <c r="X50" s="10">
        <v>8922.689669653113</v>
      </c>
      <c r="Y50" s="10">
        <v>0</v>
      </c>
      <c r="Z50" s="10">
        <v>8951.18702953098</v>
      </c>
      <c r="AB50" s="10">
        <v>47619.28702985436</v>
      </c>
      <c r="AC50" s="10">
        <v>48587.55793046097</v>
      </c>
      <c r="AD50" s="24">
        <v>96206.84496031533</v>
      </c>
      <c r="AE50" s="10"/>
      <c r="AF50" s="10">
        <v>87154.47971797956</v>
      </c>
      <c r="AG50" s="10">
        <v>90278.46226241408</v>
      </c>
      <c r="AH50" s="10">
        <v>89040.43337645271</v>
      </c>
      <c r="AI50" s="10">
        <v>96206.84496031533</v>
      </c>
      <c r="AJ50" s="10">
        <v>96206.84496031533</v>
      </c>
      <c r="AK50" s="10"/>
      <c r="AL50" s="10">
        <v>75836.47636266667</v>
      </c>
      <c r="AM50" s="10">
        <v>84786.22</v>
      </c>
      <c r="AN50" s="10">
        <v>79993.40666666666</v>
      </c>
      <c r="AO50" s="10" t="s">
        <v>54</v>
      </c>
      <c r="AP50" s="10">
        <v>-11947.030629979563</v>
      </c>
      <c r="AQ50" s="10">
        <v>-10291.86226241407</v>
      </c>
      <c r="AR50" s="10">
        <v>-6333.451760315322</v>
      </c>
      <c r="AS50" s="10">
        <v>0</v>
      </c>
      <c r="AT50" s="10">
        <v>0</v>
      </c>
      <c r="AU50" s="10"/>
      <c r="AV50" s="10">
        <v>75207.449088</v>
      </c>
      <c r="AW50" s="10">
        <v>75207</v>
      </c>
      <c r="AX50" s="10">
        <v>84786.22</v>
      </c>
      <c r="AY50" s="10">
        <v>78372</v>
      </c>
      <c r="AZ50" s="10">
        <v>89873.3932</v>
      </c>
      <c r="BA50" s="10">
        <v>96206.84496031533</v>
      </c>
      <c r="BB50" s="10">
        <v>96206.84496031533</v>
      </c>
      <c r="BD50" s="9">
        <v>5288</v>
      </c>
      <c r="BE50" s="13">
        <v>10.353186523241149</v>
      </c>
      <c r="BF50" s="13">
        <v>54747.6503348992</v>
      </c>
      <c r="BG50" s="14">
        <v>0.0064420460013530235</v>
      </c>
      <c r="BM50" s="4">
        <v>165</v>
      </c>
      <c r="BN50" s="4">
        <v>24.333333333333343</v>
      </c>
      <c r="BO50" s="10">
        <v>69324</v>
      </c>
      <c r="BP50" s="10">
        <v>10669.406666666662</v>
      </c>
      <c r="BQ50" s="14">
        <v>0.1273646564024784</v>
      </c>
      <c r="BR50" s="14">
        <v>-0.060133630289532294</v>
      </c>
      <c r="BS50" s="7">
        <v>0.06000000000000005</v>
      </c>
      <c r="BZ50" s="78"/>
      <c r="CA50" s="95"/>
    </row>
    <row r="51" spans="1:79" ht="30" hidden="1">
      <c r="A51" s="2" t="s">
        <v>147</v>
      </c>
      <c r="B51" s="15" t="s">
        <v>145</v>
      </c>
      <c r="C51" s="19">
        <v>1</v>
      </c>
      <c r="D51" s="23">
        <v>1</v>
      </c>
      <c r="E51" s="19"/>
      <c r="F51" s="23"/>
      <c r="G51" s="19">
        <v>0</v>
      </c>
      <c r="H51" s="18"/>
      <c r="I51" s="18"/>
      <c r="J51" s="18"/>
      <c r="L51" s="4">
        <v>107.66666666666667</v>
      </c>
      <c r="M51" s="3" t="s">
        <v>148</v>
      </c>
      <c r="O51" s="5">
        <v>1</v>
      </c>
      <c r="P51" s="6">
        <v>0.009038594799795128</v>
      </c>
      <c r="Q51" s="10">
        <v>1130.2340486929907</v>
      </c>
      <c r="R51" s="10">
        <v>5286.086589738184</v>
      </c>
      <c r="T51" s="10">
        <v>79116.60814883721</v>
      </c>
      <c r="U51" s="10">
        <v>8294.515180142038</v>
      </c>
      <c r="V51" s="10">
        <v>24436.070533927545</v>
      </c>
      <c r="W51" s="10">
        <v>-5383.240016492511</v>
      </c>
      <c r="X51" s="10">
        <v>8922.689669653113</v>
      </c>
      <c r="Y51" s="10">
        <v>-50108</v>
      </c>
      <c r="Z51" s="10">
        <v>8951.18702953098</v>
      </c>
      <c r="AB51" s="10">
        <v>40323.075592014786</v>
      </c>
      <c r="AC51" s="10">
        <v>37189.055003646674</v>
      </c>
      <c r="AD51" s="24">
        <v>77512.13059566147</v>
      </c>
      <c r="AE51" s="10"/>
      <c r="AF51" s="10">
        <v>73554.24898577436</v>
      </c>
      <c r="AG51" s="10">
        <v>71779.52913752772</v>
      </c>
      <c r="AH51" s="10">
        <v>69154.989219121</v>
      </c>
      <c r="AI51" s="10">
        <v>77512.13059566147</v>
      </c>
      <c r="AJ51" s="10">
        <v>77512.13059566147</v>
      </c>
      <c r="AK51" s="10"/>
      <c r="AL51" s="10">
        <v>64374.28619072222</v>
      </c>
      <c r="AM51" s="10">
        <v>69106.88239349259</v>
      </c>
      <c r="AN51" s="10">
        <v>65640.29413116419</v>
      </c>
      <c r="AO51" s="10" t="s">
        <v>62</v>
      </c>
      <c r="AP51" s="10">
        <v>-11579.2304136077</v>
      </c>
      <c r="AQ51" s="10">
        <v>-5940.249137527717</v>
      </c>
      <c r="AR51" s="10">
        <v>-4258.835258559324</v>
      </c>
      <c r="AS51" s="10">
        <v>0</v>
      </c>
      <c r="AT51" s="10">
        <v>0</v>
      </c>
      <c r="AU51" s="10"/>
      <c r="AV51" s="10">
        <v>61975.018572166664</v>
      </c>
      <c r="AW51" s="10">
        <v>61975</v>
      </c>
      <c r="AX51" s="10">
        <v>69106.88239349259</v>
      </c>
      <c r="AY51" s="10">
        <v>66864</v>
      </c>
      <c r="AZ51" s="10">
        <v>73253.29533710214</v>
      </c>
      <c r="BA51" s="10">
        <v>77512.13059566147</v>
      </c>
      <c r="BB51" s="10">
        <v>77512.13059566147</v>
      </c>
      <c r="BD51" s="9">
        <v>2008</v>
      </c>
      <c r="BE51" s="13">
        <v>11.31</v>
      </c>
      <c r="BF51" s="13">
        <v>22710.48</v>
      </c>
      <c r="BG51" s="14">
        <v>0.002672296545657354</v>
      </c>
      <c r="BM51" s="4">
        <v>147</v>
      </c>
      <c r="BN51" s="4">
        <v>39.33333333333333</v>
      </c>
      <c r="BO51" s="10">
        <v>57190</v>
      </c>
      <c r="BP51" s="10">
        <v>8450.294131164192</v>
      </c>
      <c r="BQ51" s="14">
        <v>0.11507642894888759</v>
      </c>
      <c r="BR51" s="14">
        <v>-0.1499999999999999</v>
      </c>
      <c r="BS51" s="7">
        <v>0.05999999999999998</v>
      </c>
      <c r="BZ51" s="78"/>
      <c r="CA51" s="95"/>
    </row>
    <row r="52" spans="1:79" ht="30" hidden="1">
      <c r="A52" s="2" t="s">
        <v>149</v>
      </c>
      <c r="B52" s="15" t="s">
        <v>145</v>
      </c>
      <c r="C52" s="19"/>
      <c r="D52" s="23"/>
      <c r="E52" s="19">
        <v>1</v>
      </c>
      <c r="F52" s="23"/>
      <c r="G52" s="19"/>
      <c r="H52" s="18"/>
      <c r="I52" s="18"/>
      <c r="J52" s="18"/>
      <c r="L52" s="4">
        <v>62</v>
      </c>
      <c r="M52" s="3" t="s">
        <v>150</v>
      </c>
      <c r="O52" s="5">
        <v>0.3333333333333333</v>
      </c>
      <c r="P52" s="6">
        <v>0.0030128649332650426</v>
      </c>
      <c r="Q52" s="10">
        <v>376.74468289766355</v>
      </c>
      <c r="R52" s="10">
        <v>1762.0288632460613</v>
      </c>
      <c r="T52" s="10">
        <v>0</v>
      </c>
      <c r="U52" s="10">
        <v>4147.257590071019</v>
      </c>
      <c r="V52" s="10">
        <v>12218.035266963772</v>
      </c>
      <c r="W52" s="10">
        <v>-787.6666042922137</v>
      </c>
      <c r="X52" s="10">
        <v>4461.3448348265565</v>
      </c>
      <c r="Y52" s="10">
        <v>0</v>
      </c>
      <c r="Z52" s="10">
        <v>0</v>
      </c>
      <c r="AB52" s="10">
        <v>11088.872316856428</v>
      </c>
      <c r="AC52" s="10">
        <v>21415.369135226876</v>
      </c>
      <c r="AD52" s="24">
        <v>32504.241452083304</v>
      </c>
      <c r="AE52" s="10"/>
      <c r="AF52" s="10">
        <v>30452.293389509014</v>
      </c>
      <c r="AG52" s="10">
        <v>30284.922323116967</v>
      </c>
      <c r="AH52" s="10">
        <v>28285.02121945217</v>
      </c>
      <c r="AI52" s="10">
        <v>32504.241452083304</v>
      </c>
      <c r="AJ52" s="10">
        <v>32504.241452083304</v>
      </c>
      <c r="AK52" s="10"/>
      <c r="AL52" s="10">
        <v>28119.52815794444</v>
      </c>
      <c r="AM52" s="10">
        <v>29391.929999999997</v>
      </c>
      <c r="AN52" s="10">
        <v>28194.64333333333</v>
      </c>
      <c r="AO52" s="10" t="s">
        <v>54</v>
      </c>
      <c r="AP52" s="10">
        <v>-3658.3489156756805</v>
      </c>
      <c r="AQ52" s="10">
        <v>-1886.6823231169656</v>
      </c>
      <c r="AR52" s="10">
        <v>-1348.7956520833068</v>
      </c>
      <c r="AS52" s="10">
        <v>0</v>
      </c>
      <c r="AT52" s="10">
        <v>0</v>
      </c>
      <c r="AU52" s="10"/>
      <c r="AV52" s="10">
        <v>26793.944473833333</v>
      </c>
      <c r="AW52" s="10">
        <v>26794</v>
      </c>
      <c r="AX52" s="10">
        <v>29391.929999999997</v>
      </c>
      <c r="AY52" s="10">
        <v>28500</v>
      </c>
      <c r="AZ52" s="10">
        <v>31155.445799999998</v>
      </c>
      <c r="BA52" s="10">
        <v>32504.241452083304</v>
      </c>
      <c r="BB52" s="10">
        <v>32504.241452083304</v>
      </c>
      <c r="BD52" s="9">
        <v>1085</v>
      </c>
      <c r="BE52" s="13">
        <v>13.306666666666667</v>
      </c>
      <c r="BF52" s="13">
        <v>14437.733333333334</v>
      </c>
      <c r="BG52" s="14">
        <v>0.0016988590691957503</v>
      </c>
      <c r="BM52" s="4">
        <v>102</v>
      </c>
      <c r="BN52" s="4">
        <v>40</v>
      </c>
      <c r="BO52" s="10">
        <v>24720</v>
      </c>
      <c r="BP52" s="10">
        <v>3474.64333333333</v>
      </c>
      <c r="BQ52" s="14">
        <v>0.09696166716714022</v>
      </c>
      <c r="BR52" s="14">
        <v>-0.14678899082568797</v>
      </c>
      <c r="BS52" s="7">
        <v>0.06000000000000004</v>
      </c>
      <c r="BZ52" s="78"/>
      <c r="CA52" s="95"/>
    </row>
    <row r="53" spans="1:79" ht="30" hidden="1">
      <c r="A53" s="2" t="s">
        <v>151</v>
      </c>
      <c r="B53" s="15" t="s">
        <v>145</v>
      </c>
      <c r="C53" s="19">
        <v>1</v>
      </c>
      <c r="D53" s="23"/>
      <c r="E53" s="19">
        <v>1</v>
      </c>
      <c r="F53" s="23"/>
      <c r="G53" s="19"/>
      <c r="H53" s="18"/>
      <c r="I53" s="18"/>
      <c r="J53" s="18"/>
      <c r="L53" s="4">
        <v>233.33333333333331</v>
      </c>
      <c r="M53" s="3" t="s">
        <v>152</v>
      </c>
      <c r="O53" s="5">
        <v>1.3333333333333333</v>
      </c>
      <c r="P53" s="6">
        <v>0.01205145973306017</v>
      </c>
      <c r="Q53" s="10">
        <v>1506.9787315906542</v>
      </c>
      <c r="R53" s="10">
        <v>7048.115452984245</v>
      </c>
      <c r="T53" s="10">
        <v>39558.30407441861</v>
      </c>
      <c r="U53" s="10">
        <v>8294.515180142038</v>
      </c>
      <c r="V53" s="10">
        <v>24436.070533927545</v>
      </c>
      <c r="W53" s="10">
        <v>-3479.286612538469</v>
      </c>
      <c r="X53" s="10">
        <v>8922.689669653113</v>
      </c>
      <c r="Y53" s="10">
        <v>0</v>
      </c>
      <c r="Z53" s="10">
        <v>8951.18702953098</v>
      </c>
      <c r="AB53" s="10">
        <v>47619.28702985436</v>
      </c>
      <c r="AC53" s="10">
        <v>80595.47524010114</v>
      </c>
      <c r="AD53" s="24">
        <v>128214.76226995549</v>
      </c>
      <c r="AE53" s="10"/>
      <c r="AF53" s="10">
        <v>114717.01818735173</v>
      </c>
      <c r="AG53" s="10">
        <v>109561.90329080624</v>
      </c>
      <c r="AH53" s="10">
        <v>117710.93278132279</v>
      </c>
      <c r="AI53" s="10">
        <v>128214.76226995549</v>
      </c>
      <c r="AJ53" s="10">
        <v>128214.76226995549</v>
      </c>
      <c r="AK53" s="10"/>
      <c r="AL53" s="10">
        <v>100225.91358705556</v>
      </c>
      <c r="AM53" s="10">
        <v>113148.64</v>
      </c>
      <c r="AN53" s="10">
        <v>106684.54666666668</v>
      </c>
      <c r="AO53" s="10" t="s">
        <v>54</v>
      </c>
      <c r="AP53" s="10">
        <v>-14555.55742618507</v>
      </c>
      <c r="AQ53" s="10">
        <v>-2818.3832908062323</v>
      </c>
      <c r="AR53" s="10">
        <v>-8277.203869955483</v>
      </c>
      <c r="AS53" s="10">
        <v>0</v>
      </c>
      <c r="AT53" s="10">
        <v>0</v>
      </c>
      <c r="AU53" s="10"/>
      <c r="AV53" s="10">
        <v>100161.46076116666</v>
      </c>
      <c r="AW53" s="10">
        <v>100161</v>
      </c>
      <c r="AX53" s="10">
        <v>113148.64</v>
      </c>
      <c r="AY53" s="10">
        <v>105027</v>
      </c>
      <c r="AZ53" s="10">
        <v>119937.55840000001</v>
      </c>
      <c r="BA53" s="10">
        <v>128214.76226995549</v>
      </c>
      <c r="BB53" s="10">
        <v>128214.76226995549</v>
      </c>
      <c r="BD53" s="9">
        <v>4402</v>
      </c>
      <c r="BE53" s="13">
        <v>12.415028051785368</v>
      </c>
      <c r="BF53" s="13">
        <v>54650.953483959194</v>
      </c>
      <c r="BG53" s="14">
        <v>0.00643066787721197</v>
      </c>
      <c r="BM53" s="4">
        <v>341</v>
      </c>
      <c r="BN53" s="4">
        <v>107.66666666666669</v>
      </c>
      <c r="BO53" s="10">
        <v>92222</v>
      </c>
      <c r="BP53" s="10">
        <v>14462.546666666676</v>
      </c>
      <c r="BQ53" s="14">
        <v>0.12966243842829983</v>
      </c>
      <c r="BR53" s="14">
        <v>-0.11949685534591202</v>
      </c>
      <c r="BS53" s="7">
        <v>0.06000000000000009</v>
      </c>
      <c r="BZ53" s="78"/>
      <c r="CA53" s="95"/>
    </row>
    <row r="54" spans="1:79" ht="45" hidden="1">
      <c r="A54" s="2" t="s">
        <v>153</v>
      </c>
      <c r="B54" s="15" t="s">
        <v>145</v>
      </c>
      <c r="C54" s="19">
        <v>1</v>
      </c>
      <c r="D54" s="23">
        <v>1</v>
      </c>
      <c r="E54" s="19"/>
      <c r="F54" s="23"/>
      <c r="G54" s="19"/>
      <c r="H54" s="18"/>
      <c r="I54" s="18"/>
      <c r="J54" s="18"/>
      <c r="L54" s="4">
        <v>153.33333333333331</v>
      </c>
      <c r="M54" s="3" t="s">
        <v>154</v>
      </c>
      <c r="O54" s="5">
        <v>1</v>
      </c>
      <c r="P54" s="6">
        <v>0.009038594799795128</v>
      </c>
      <c r="Q54" s="10">
        <v>1130.2340486929907</v>
      </c>
      <c r="R54" s="10">
        <v>5286.086589738184</v>
      </c>
      <c r="T54" s="10">
        <v>79116.60814883721</v>
      </c>
      <c r="U54" s="10">
        <v>8294.515180142038</v>
      </c>
      <c r="V54" s="10">
        <v>24436.070533927545</v>
      </c>
      <c r="W54" s="10">
        <v>-5383.240016492511</v>
      </c>
      <c r="X54" s="10">
        <v>8922.689669653113</v>
      </c>
      <c r="Y54" s="10">
        <v>-50108</v>
      </c>
      <c r="Z54" s="10">
        <v>8951.18702953098</v>
      </c>
      <c r="AB54" s="10">
        <v>40323.075592014786</v>
      </c>
      <c r="AC54" s="10">
        <v>52962.74087206646</v>
      </c>
      <c r="AD54" s="24">
        <v>93285.81646408125</v>
      </c>
      <c r="AE54" s="10"/>
      <c r="AF54" s="10">
        <v>84497.74155758784</v>
      </c>
      <c r="AG54" s="10">
        <v>84306.11291076198</v>
      </c>
      <c r="AH54" s="10">
        <v>81878.22608614515</v>
      </c>
      <c r="AI54" s="10">
        <v>93285.81646408125</v>
      </c>
      <c r="AJ54" s="10">
        <v>93285.81646408125</v>
      </c>
      <c r="AK54" s="10"/>
      <c r="AL54" s="10">
        <v>74293.16906522222</v>
      </c>
      <c r="AM54" s="10">
        <v>80626.78</v>
      </c>
      <c r="AN54" s="10">
        <v>76044.59333333334</v>
      </c>
      <c r="AO54" s="10" t="s">
        <v>54</v>
      </c>
      <c r="AP54" s="10">
        <v>-13053.984361921175</v>
      </c>
      <c r="AQ54" s="10">
        <v>-8242.992910761983</v>
      </c>
      <c r="AR54" s="10">
        <v>-7821.429664081239</v>
      </c>
      <c r="AS54" s="10">
        <v>0</v>
      </c>
      <c r="AT54" s="10">
        <v>0</v>
      </c>
      <c r="AU54" s="10"/>
      <c r="AV54" s="10">
        <v>71443.75719566667</v>
      </c>
      <c r="AW54" s="10">
        <v>71444</v>
      </c>
      <c r="AX54" s="10">
        <v>80626.78</v>
      </c>
      <c r="AY54" s="10">
        <v>75924</v>
      </c>
      <c r="AZ54" s="10">
        <v>85464.38680000001</v>
      </c>
      <c r="BA54" s="10">
        <v>93285.81646408125</v>
      </c>
      <c r="BB54" s="10">
        <v>93285.81646408125</v>
      </c>
      <c r="BD54" s="9">
        <v>2542</v>
      </c>
      <c r="BE54" s="13">
        <v>10.345</v>
      </c>
      <c r="BF54" s="13">
        <v>26296.99</v>
      </c>
      <c r="BG54" s="14">
        <v>0.0030943139703866226</v>
      </c>
      <c r="BM54" s="4">
        <v>171</v>
      </c>
      <c r="BN54" s="4">
        <v>17.666666666666686</v>
      </c>
      <c r="BO54" s="10">
        <v>65632</v>
      </c>
      <c r="BP54" s="10">
        <v>10412.593333333338</v>
      </c>
      <c r="BQ54" s="14">
        <v>0.12853499262620413</v>
      </c>
      <c r="BR54" s="14">
        <v>-0.09803921568627462</v>
      </c>
      <c r="BS54" s="7">
        <v>0.06000000000000011</v>
      </c>
      <c r="BZ54" s="78"/>
      <c r="CA54" s="95"/>
    </row>
    <row r="55" spans="1:79" ht="15" hidden="1">
      <c r="A55" s="2" t="s">
        <v>155</v>
      </c>
      <c r="B55" s="15" t="s">
        <v>145</v>
      </c>
      <c r="C55" s="19">
        <v>1</v>
      </c>
      <c r="D55" s="23"/>
      <c r="E55" s="19"/>
      <c r="F55" s="23"/>
      <c r="G55" s="19"/>
      <c r="H55" s="18"/>
      <c r="I55" s="18"/>
      <c r="J55" s="18"/>
      <c r="L55" s="4">
        <v>91.33333333333334</v>
      </c>
      <c r="M55" s="3" t="s">
        <v>156</v>
      </c>
      <c r="O55" s="5">
        <v>1</v>
      </c>
      <c r="P55" s="6">
        <v>0.009038594799795128</v>
      </c>
      <c r="Q55" s="10">
        <v>1130.2340486929907</v>
      </c>
      <c r="R55" s="10">
        <v>5286.086589738184</v>
      </c>
      <c r="T55" s="10">
        <v>39558.30407441861</v>
      </c>
      <c r="U55" s="10">
        <v>4147.257590071019</v>
      </c>
      <c r="V55" s="10">
        <v>12218.035266963772</v>
      </c>
      <c r="W55" s="10">
        <v>-2691.6200082462556</v>
      </c>
      <c r="X55" s="10">
        <v>4461.3448348265565</v>
      </c>
      <c r="Y55" s="10">
        <v>0</v>
      </c>
      <c r="Z55" s="10">
        <v>8951.18702953098</v>
      </c>
      <c r="AB55" s="10">
        <v>36530.41471299793</v>
      </c>
      <c r="AC55" s="10">
        <v>31547.371736839592</v>
      </c>
      <c r="AD55" s="24">
        <v>68077.78644983753</v>
      </c>
      <c r="AE55" s="10"/>
      <c r="AF55" s="10">
        <v>62032.38856051241</v>
      </c>
      <c r="AG55" s="10">
        <v>61236.964579899395</v>
      </c>
      <c r="AH55" s="10">
        <v>62958.771216918365</v>
      </c>
      <c r="AI55" s="10">
        <v>68077.78644983753</v>
      </c>
      <c r="AJ55" s="10">
        <v>68077.78644983753</v>
      </c>
      <c r="AK55" s="10"/>
      <c r="AL55" s="10">
        <v>63679.108622222215</v>
      </c>
      <c r="AM55" s="10">
        <v>69600.64499999999</v>
      </c>
      <c r="AN55" s="10">
        <v>66884.215</v>
      </c>
      <c r="AO55" s="10" t="s">
        <v>62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/>
      <c r="AV55" s="10">
        <v>63804.51586666666</v>
      </c>
      <c r="AW55" s="10">
        <v>63805</v>
      </c>
      <c r="AX55" s="10">
        <v>69600.64499999999</v>
      </c>
      <c r="AY55" s="10">
        <v>75360</v>
      </c>
      <c r="AZ55" s="10">
        <v>69600.64499999999</v>
      </c>
      <c r="BA55" s="10">
        <v>68077.78644983753</v>
      </c>
      <c r="BB55" s="10">
        <v>68077.78644983753</v>
      </c>
      <c r="BD55" s="9">
        <v>3598</v>
      </c>
      <c r="BE55" s="13">
        <v>13.123333333333335</v>
      </c>
      <c r="BF55" s="13">
        <v>47217.75333333334</v>
      </c>
      <c r="BG55" s="14">
        <v>0.0055560181522525155</v>
      </c>
      <c r="BM55" s="4">
        <v>94</v>
      </c>
      <c r="BN55" s="4">
        <v>2.666666666666657</v>
      </c>
      <c r="BO55" s="10">
        <v>64620</v>
      </c>
      <c r="BP55" s="10">
        <v>2264.2149999999965</v>
      </c>
      <c r="BQ55" s="14">
        <v>0.09084198907559449</v>
      </c>
      <c r="BR55" s="14">
        <v>-0.03690685413005272</v>
      </c>
      <c r="BS55" s="7">
        <v>0</v>
      </c>
      <c r="BZ55" s="78"/>
      <c r="CA55" s="95"/>
    </row>
    <row r="56" spans="1:79" ht="45" hidden="1">
      <c r="A56" s="2" t="s">
        <v>157</v>
      </c>
      <c r="B56" s="15" t="s">
        <v>145</v>
      </c>
      <c r="C56" s="19">
        <v>1</v>
      </c>
      <c r="D56" s="23"/>
      <c r="E56" s="19"/>
      <c r="F56" s="23"/>
      <c r="G56" s="19"/>
      <c r="H56" s="18"/>
      <c r="I56" s="18"/>
      <c r="J56" s="18"/>
      <c r="L56" s="4">
        <v>76.33333333333333</v>
      </c>
      <c r="M56" s="3" t="s">
        <v>158</v>
      </c>
      <c r="O56" s="5">
        <v>1</v>
      </c>
      <c r="P56" s="6">
        <v>0.009038594799795128</v>
      </c>
      <c r="Q56" s="10">
        <v>1130.2340486929907</v>
      </c>
      <c r="R56" s="10">
        <v>5286.086589738184</v>
      </c>
      <c r="T56" s="10">
        <v>39558.30407441861</v>
      </c>
      <c r="U56" s="10">
        <v>4147.257590071019</v>
      </c>
      <c r="V56" s="10">
        <v>12218.035266963772</v>
      </c>
      <c r="W56" s="10">
        <v>-2691.6200082462556</v>
      </c>
      <c r="X56" s="10">
        <v>4461.3448348265565</v>
      </c>
      <c r="Y56" s="10">
        <v>0</v>
      </c>
      <c r="Z56" s="10">
        <v>8951.18702953098</v>
      </c>
      <c r="AB56" s="10">
        <v>36530.41471299793</v>
      </c>
      <c r="AC56" s="10">
        <v>26366.234042833086</v>
      </c>
      <c r="AD56" s="24">
        <v>62896.64875583102</v>
      </c>
      <c r="AE56" s="10"/>
      <c r="AF56" s="10">
        <v>66067.1858837122</v>
      </c>
      <c r="AG56" s="10">
        <v>66397.16881180287</v>
      </c>
      <c r="AH56" s="10">
        <v>62042.60097420847</v>
      </c>
      <c r="AI56" s="10">
        <v>62896.64875583102</v>
      </c>
      <c r="AJ56" s="10">
        <v>62896.64875583102</v>
      </c>
      <c r="AK56" s="10"/>
      <c r="AL56" s="10">
        <v>62990.831098888884</v>
      </c>
      <c r="AM56" s="10">
        <v>67713.84</v>
      </c>
      <c r="AN56" s="10">
        <v>64846.613333333335</v>
      </c>
      <c r="AO56" s="10" t="s">
        <v>62</v>
      </c>
      <c r="AP56" s="10">
        <v>-4665.342587045539</v>
      </c>
      <c r="AQ56" s="10">
        <v>-973.028811802862</v>
      </c>
      <c r="AR56" s="10">
        <v>0</v>
      </c>
      <c r="AS56" s="10">
        <v>0</v>
      </c>
      <c r="AT56" s="10">
        <v>0</v>
      </c>
      <c r="AU56" s="10"/>
      <c r="AV56" s="10">
        <v>61401.84329666666</v>
      </c>
      <c r="AW56" s="10">
        <v>61402</v>
      </c>
      <c r="AX56" s="10">
        <v>67713.84</v>
      </c>
      <c r="AY56" s="10">
        <v>64896</v>
      </c>
      <c r="AZ56" s="10">
        <v>67713.84</v>
      </c>
      <c r="BA56" s="10">
        <v>64846.613333333335</v>
      </c>
      <c r="BB56" s="10">
        <v>64846.613333333335</v>
      </c>
      <c r="BD56" s="9">
        <v>2343</v>
      </c>
      <c r="BE56" s="13">
        <v>14.655820831275657</v>
      </c>
      <c r="BF56" s="13">
        <v>34338.58820767886</v>
      </c>
      <c r="BG56" s="14">
        <v>0.004040552672164154</v>
      </c>
      <c r="BM56" s="4">
        <v>150</v>
      </c>
      <c r="BN56" s="4">
        <v>73.66666666666667</v>
      </c>
      <c r="BO56" s="10">
        <v>56068</v>
      </c>
      <c r="BP56" s="10">
        <v>8778.613333333335</v>
      </c>
      <c r="BQ56" s="14">
        <v>0.10279816312413538</v>
      </c>
      <c r="BR56" s="14">
        <v>-0.2953846153846154</v>
      </c>
      <c r="BS56" s="7">
        <v>0</v>
      </c>
      <c r="BZ56" s="78"/>
      <c r="CA56" s="95"/>
    </row>
    <row r="57" spans="1:79" ht="30" hidden="1">
      <c r="A57" s="2" t="s">
        <v>159</v>
      </c>
      <c r="B57" s="15" t="s">
        <v>145</v>
      </c>
      <c r="C57" s="19">
        <v>0.5</v>
      </c>
      <c r="D57" s="23"/>
      <c r="E57" s="19"/>
      <c r="F57" s="23"/>
      <c r="G57" s="19"/>
      <c r="H57" s="18"/>
      <c r="I57" s="18"/>
      <c r="J57" s="18"/>
      <c r="L57" s="4">
        <v>67.66666666666667</v>
      </c>
      <c r="M57" s="3" t="s">
        <v>160</v>
      </c>
      <c r="O57" s="5">
        <v>0.5</v>
      </c>
      <c r="P57" s="6">
        <v>0.004519297399897564</v>
      </c>
      <c r="Q57" s="10">
        <v>565.1170243464953</v>
      </c>
      <c r="R57" s="10">
        <v>2643.043294869092</v>
      </c>
      <c r="T57" s="10">
        <v>19779.152037209304</v>
      </c>
      <c r="U57" s="10">
        <v>2073.6287950355095</v>
      </c>
      <c r="V57" s="10">
        <v>6109.017633481886</v>
      </c>
      <c r="W57" s="10">
        <v>-1345.8100041231278</v>
      </c>
      <c r="X57" s="10">
        <v>2230.6724174132783</v>
      </c>
      <c r="Y57" s="10">
        <v>0</v>
      </c>
      <c r="Z57" s="10">
        <v>4475.59351476549</v>
      </c>
      <c r="AB57" s="10">
        <v>18265.207356498966</v>
      </c>
      <c r="AC57" s="10">
        <v>23372.687819629333</v>
      </c>
      <c r="AD57" s="24">
        <v>41637.895176128295</v>
      </c>
      <c r="AE57" s="10"/>
      <c r="AF57" s="10">
        <v>36769.51638926333</v>
      </c>
      <c r="AG57" s="10">
        <v>37852.8862621281</v>
      </c>
      <c r="AH57" s="10">
        <v>37332.69549243901</v>
      </c>
      <c r="AI57" s="10">
        <v>41637.895176128295</v>
      </c>
      <c r="AJ57" s="10">
        <v>41637.895176128295</v>
      </c>
      <c r="AK57" s="10"/>
      <c r="AL57" s="10">
        <v>36663.46459422222</v>
      </c>
      <c r="AM57" s="10">
        <v>34885.66</v>
      </c>
      <c r="AN57" s="10">
        <v>33349.22</v>
      </c>
      <c r="AO57" s="10" t="s">
        <v>54</v>
      </c>
      <c r="AP57" s="10">
        <v>-4518.372606596666</v>
      </c>
      <c r="AQ57" s="10">
        <v>-4941.756262128096</v>
      </c>
      <c r="AR57" s="10">
        <v>-4659.095576128289</v>
      </c>
      <c r="AS57" s="10">
        <v>-324.05936101204134</v>
      </c>
      <c r="AT57" s="10">
        <v>0</v>
      </c>
      <c r="AU57" s="10"/>
      <c r="AV57" s="10">
        <v>32251.143782666662</v>
      </c>
      <c r="AW57" s="10">
        <v>32251</v>
      </c>
      <c r="AX57" s="10">
        <v>34885.66</v>
      </c>
      <c r="AY57" s="10">
        <v>24000</v>
      </c>
      <c r="AZ57" s="10">
        <v>36978.799600000006</v>
      </c>
      <c r="BA57" s="10">
        <v>41313.835815116254</v>
      </c>
      <c r="BB57" s="10">
        <v>41637.895176128295</v>
      </c>
      <c r="BD57" s="9">
        <v>845</v>
      </c>
      <c r="BE57" s="13">
        <v>10.838000000000001</v>
      </c>
      <c r="BF57" s="13">
        <v>9158.11</v>
      </c>
      <c r="BG57" s="14">
        <v>0.0010776164007872168</v>
      </c>
      <c r="BM57" s="4">
        <v>69</v>
      </c>
      <c r="BN57" s="4">
        <v>1.3333333333333286</v>
      </c>
      <c r="BO57" s="10">
        <v>29848</v>
      </c>
      <c r="BP57" s="10">
        <v>3501.220000000001</v>
      </c>
      <c r="BQ57" s="14">
        <v>0.0816875282032403</v>
      </c>
      <c r="BR57" s="14">
        <v>0.015</v>
      </c>
      <c r="BS57" s="7">
        <v>0.06000000000000006</v>
      </c>
      <c r="BZ57" s="78"/>
      <c r="CA57" s="95"/>
    </row>
    <row r="58" spans="1:79" ht="15" hidden="1">
      <c r="A58" s="2" t="s">
        <v>161</v>
      </c>
      <c r="B58" s="15" t="s">
        <v>145</v>
      </c>
      <c r="C58" s="19">
        <v>1</v>
      </c>
      <c r="D58" s="23"/>
      <c r="E58" s="19"/>
      <c r="F58" s="23"/>
      <c r="G58" s="19">
        <v>1</v>
      </c>
      <c r="H58" s="18"/>
      <c r="I58" s="18"/>
      <c r="J58" s="18"/>
      <c r="L58" s="4">
        <v>90.66666666666667</v>
      </c>
      <c r="M58" s="3" t="s">
        <v>162</v>
      </c>
      <c r="O58" s="5">
        <v>1.05</v>
      </c>
      <c r="P58" s="6">
        <v>0.009490524539784885</v>
      </c>
      <c r="Q58" s="10">
        <v>1186.7457511276402</v>
      </c>
      <c r="R58" s="10">
        <v>5550.390919225093</v>
      </c>
      <c r="T58" s="10">
        <v>39558.30407441861</v>
      </c>
      <c r="U58" s="10">
        <v>4147.257590071019</v>
      </c>
      <c r="V58" s="10">
        <v>12218.035266963772</v>
      </c>
      <c r="W58" s="10">
        <v>-2691.6200082462556</v>
      </c>
      <c r="X58" s="10">
        <v>8922.689669653113</v>
      </c>
      <c r="Y58" s="10">
        <v>0</v>
      </c>
      <c r="Z58" s="10">
        <v>8951.18702953098</v>
      </c>
      <c r="AB58" s="10">
        <v>38921.495146371984</v>
      </c>
      <c r="AC58" s="10">
        <v>31317.098950439304</v>
      </c>
      <c r="AD58" s="24">
        <v>70238.59409681128</v>
      </c>
      <c r="AE58" s="10"/>
      <c r="AF58" s="10">
        <v>68258.6428591169</v>
      </c>
      <c r="AG58" s="10">
        <v>69099.78270147971</v>
      </c>
      <c r="AH58" s="10">
        <v>68238.81897641112</v>
      </c>
      <c r="AI58" s="10">
        <v>70238.59409681128</v>
      </c>
      <c r="AJ58" s="10">
        <v>70238.59409681128</v>
      </c>
      <c r="AK58" s="10"/>
      <c r="AL58" s="10">
        <v>59079.55709311111</v>
      </c>
      <c r="AM58" s="10">
        <v>65234.520000000004</v>
      </c>
      <c r="AN58" s="10">
        <v>61693.17333333334</v>
      </c>
      <c r="AO58" s="10" t="s">
        <v>62</v>
      </c>
      <c r="AP58" s="10">
        <v>-9956.131579783563</v>
      </c>
      <c r="AQ58" s="10">
        <v>-7557.682701479702</v>
      </c>
      <c r="AR58" s="10">
        <v>-1090.0028968112747</v>
      </c>
      <c r="AS58" s="10">
        <v>0</v>
      </c>
      <c r="AT58" s="10">
        <v>0</v>
      </c>
      <c r="AU58" s="10"/>
      <c r="AV58" s="10">
        <v>58302.51127933333</v>
      </c>
      <c r="AW58" s="10">
        <v>58303</v>
      </c>
      <c r="AX58" s="10">
        <v>65234.520000000004</v>
      </c>
      <c r="AY58" s="10">
        <v>57116</v>
      </c>
      <c r="AZ58" s="10">
        <v>69148.59120000001</v>
      </c>
      <c r="BA58" s="10">
        <v>70238.59409681128</v>
      </c>
      <c r="BB58" s="10">
        <v>70238.59409681128</v>
      </c>
      <c r="BD58" s="9">
        <v>2639</v>
      </c>
      <c r="BE58" s="13">
        <v>11.175415062743413</v>
      </c>
      <c r="BF58" s="13">
        <v>29491.92035057987</v>
      </c>
      <c r="BG58" s="14">
        <v>0.0034702550046347065</v>
      </c>
      <c r="BM58" s="4">
        <v>114</v>
      </c>
      <c r="BN58" s="4">
        <v>23.33333333333333</v>
      </c>
      <c r="BO58" s="10">
        <v>53620</v>
      </c>
      <c r="BP58" s="10">
        <v>8073.1733333333395</v>
      </c>
      <c r="BQ58" s="14">
        <v>0.1188972579149242</v>
      </c>
      <c r="BR58" s="14">
        <v>-0.21613832853025927</v>
      </c>
      <c r="BS58" s="7">
        <v>0.06000000000000009</v>
      </c>
      <c r="BZ58" s="78"/>
      <c r="CA58" s="95"/>
    </row>
    <row r="59" spans="1:79" ht="30" hidden="1">
      <c r="A59" s="2" t="s">
        <v>163</v>
      </c>
      <c r="B59" s="15" t="s">
        <v>145</v>
      </c>
      <c r="C59" s="19">
        <v>1</v>
      </c>
      <c r="D59" s="23"/>
      <c r="E59" s="19"/>
      <c r="F59" s="23"/>
      <c r="G59" s="19">
        <v>1</v>
      </c>
      <c r="H59" s="18"/>
      <c r="I59" s="18"/>
      <c r="J59" s="18"/>
      <c r="L59" s="4">
        <v>114.66666666666667</v>
      </c>
      <c r="M59" s="3" t="s">
        <v>164</v>
      </c>
      <c r="O59" s="5">
        <v>1.05</v>
      </c>
      <c r="P59" s="6">
        <v>0.009490524539784885</v>
      </c>
      <c r="Q59" s="10">
        <v>1186.7457511276402</v>
      </c>
      <c r="R59" s="10">
        <v>5550.390919225093</v>
      </c>
      <c r="T59" s="10">
        <v>39558.30407441861</v>
      </c>
      <c r="U59" s="10">
        <v>4147.257590071019</v>
      </c>
      <c r="V59" s="10">
        <v>12218.035266963772</v>
      </c>
      <c r="W59" s="10">
        <v>-2691.6200082462556</v>
      </c>
      <c r="X59" s="10">
        <v>8922.689669653113</v>
      </c>
      <c r="Y59" s="10">
        <v>0</v>
      </c>
      <c r="Z59" s="10">
        <v>8951.18702953098</v>
      </c>
      <c r="AB59" s="10">
        <v>38921.495146371984</v>
      </c>
      <c r="AC59" s="10">
        <v>39606.91926084971</v>
      </c>
      <c r="AD59" s="24">
        <v>78528.41440722169</v>
      </c>
      <c r="AE59" s="10"/>
      <c r="AF59" s="10">
        <v>65733.71590253524</v>
      </c>
      <c r="AG59" s="10">
        <v>68946.47583373755</v>
      </c>
      <c r="AH59" s="10">
        <v>69256.78591275544</v>
      </c>
      <c r="AI59" s="10">
        <v>78528.41440722169</v>
      </c>
      <c r="AJ59" s="10">
        <v>78528.41440722169</v>
      </c>
      <c r="AK59" s="10"/>
      <c r="AL59" s="10">
        <v>59150.3728986111</v>
      </c>
      <c r="AM59" s="10">
        <v>69208.53060927015</v>
      </c>
      <c r="AN59" s="10">
        <v>65866.51020309005</v>
      </c>
      <c r="AO59" s="10" t="s">
        <v>54</v>
      </c>
      <c r="AP59" s="10">
        <v>-3387.157206701915</v>
      </c>
      <c r="AQ59" s="10">
        <v>-2902.215833737544</v>
      </c>
      <c r="AR59" s="10">
        <v>-5167.371961395329</v>
      </c>
      <c r="AS59" s="10">
        <v>0</v>
      </c>
      <c r="AT59" s="10">
        <v>0</v>
      </c>
      <c r="AU59" s="10"/>
      <c r="AV59" s="10">
        <v>62346.55869583333</v>
      </c>
      <c r="AW59" s="10">
        <v>62347</v>
      </c>
      <c r="AX59" s="10">
        <v>69208.53060927015</v>
      </c>
      <c r="AY59" s="10">
        <v>66864</v>
      </c>
      <c r="AZ59" s="10">
        <v>73361.04244582636</v>
      </c>
      <c r="BA59" s="10">
        <v>78528.41440722169</v>
      </c>
      <c r="BB59" s="10">
        <v>78528.41440722169</v>
      </c>
      <c r="BD59" s="9">
        <v>1556</v>
      </c>
      <c r="BE59" s="13">
        <v>11.3</v>
      </c>
      <c r="BF59" s="13">
        <v>17582.800000000003</v>
      </c>
      <c r="BG59" s="14">
        <v>0.002068932743957157</v>
      </c>
      <c r="BM59" s="4">
        <v>114</v>
      </c>
      <c r="BN59" s="4">
        <v>-0.6666666666666714</v>
      </c>
      <c r="BO59" s="10">
        <v>57744</v>
      </c>
      <c r="BP59" s="10">
        <v>8122.510203090045</v>
      </c>
      <c r="BQ59" s="14">
        <v>0.11006175893226022</v>
      </c>
      <c r="BR59" s="14">
        <v>0.14096185737976788</v>
      </c>
      <c r="BS59" s="7">
        <v>0.05999999999999999</v>
      </c>
      <c r="BZ59" s="78"/>
      <c r="CA59" s="95"/>
    </row>
    <row r="60" spans="1:79" ht="15" hidden="1">
      <c r="A60" s="2" t="s">
        <v>165</v>
      </c>
      <c r="B60" s="15" t="s">
        <v>145</v>
      </c>
      <c r="C60" s="19">
        <v>3</v>
      </c>
      <c r="D60" s="23"/>
      <c r="E60" s="19"/>
      <c r="F60" s="23"/>
      <c r="G60" s="19"/>
      <c r="H60" s="18"/>
      <c r="I60" s="18"/>
      <c r="J60" s="18"/>
      <c r="L60" s="4">
        <v>277.6666666666667</v>
      </c>
      <c r="M60" s="3" t="s">
        <v>166</v>
      </c>
      <c r="O60" s="5">
        <v>3</v>
      </c>
      <c r="P60" s="6">
        <v>0.027115784399385386</v>
      </c>
      <c r="Q60" s="10">
        <v>3390.7021460789724</v>
      </c>
      <c r="R60" s="10">
        <v>15858.259769214552</v>
      </c>
      <c r="T60" s="10">
        <v>118674.91222325581</v>
      </c>
      <c r="U60" s="10">
        <v>12441.772770213056</v>
      </c>
      <c r="V60" s="10">
        <v>36654.10580089132</v>
      </c>
      <c r="W60" s="10">
        <v>-8074.860024738765</v>
      </c>
      <c r="X60" s="10">
        <v>13384.034504479667</v>
      </c>
      <c r="Y60" s="10">
        <v>0</v>
      </c>
      <c r="Z60" s="10">
        <v>26853.56108859294</v>
      </c>
      <c r="AB60" s="10">
        <v>109591.24413899379</v>
      </c>
      <c r="AC60" s="10">
        <v>95908.61553572038</v>
      </c>
      <c r="AD60" s="24">
        <v>205499.85967471416</v>
      </c>
      <c r="AE60" s="10"/>
      <c r="AF60" s="10">
        <v>204626.88919055357</v>
      </c>
      <c r="AG60" s="10">
        <v>203246.0897660089</v>
      </c>
      <c r="AH60" s="10">
        <v>195187.70865608982</v>
      </c>
      <c r="AI60" s="10">
        <v>205499.85967471416</v>
      </c>
      <c r="AJ60" s="10">
        <v>205499.85967471416</v>
      </c>
      <c r="AK60" s="10"/>
      <c r="AL60" s="10">
        <v>172596.45321244444</v>
      </c>
      <c r="AM60" s="10">
        <v>172329.55446133285</v>
      </c>
      <c r="AN60" s="10">
        <v>166650.5181537776</v>
      </c>
      <c r="AO60" s="10" t="s">
        <v>62</v>
      </c>
      <c r="AP60" s="10">
        <v>-43999.29955322028</v>
      </c>
      <c r="AQ60" s="10">
        <v>-36251.76976600886</v>
      </c>
      <c r="AR60" s="10">
        <v>-22830.53194570131</v>
      </c>
      <c r="AS60" s="10">
        <v>0</v>
      </c>
      <c r="AT60" s="10">
        <v>0</v>
      </c>
      <c r="AU60" s="10"/>
      <c r="AV60" s="10">
        <v>160627.5896373333</v>
      </c>
      <c r="AW60" s="10">
        <v>160628</v>
      </c>
      <c r="AX60" s="10">
        <v>172329.55446133285</v>
      </c>
      <c r="AY60" s="10">
        <v>156716</v>
      </c>
      <c r="AZ60" s="10">
        <v>182669.32772901285</v>
      </c>
      <c r="BA60" s="10">
        <v>205499.85967471416</v>
      </c>
      <c r="BB60" s="10">
        <v>205499.85967471416</v>
      </c>
      <c r="BD60" s="9">
        <v>11213</v>
      </c>
      <c r="BE60" s="13">
        <v>12.13461355260309</v>
      </c>
      <c r="BF60" s="13">
        <v>136065.42176533845</v>
      </c>
      <c r="BG60" s="14">
        <v>0.016010544760257154</v>
      </c>
      <c r="BM60" s="4">
        <v>379</v>
      </c>
      <c r="BN60" s="4">
        <v>101.33333333333331</v>
      </c>
      <c r="BO60" s="10">
        <v>142152</v>
      </c>
      <c r="BP60" s="10">
        <v>24498.518153777608</v>
      </c>
      <c r="BQ60" s="14">
        <v>0.0728515247624669</v>
      </c>
      <c r="BR60" s="14">
        <v>-0.1986531986531986</v>
      </c>
      <c r="BS60" s="7">
        <v>0.06000000000000013</v>
      </c>
      <c r="BZ60" s="78"/>
      <c r="CA60" s="95"/>
    </row>
    <row r="61" spans="1:82" ht="15">
      <c r="A61" s="2" t="s">
        <v>274</v>
      </c>
      <c r="B61" s="15" t="s">
        <v>167</v>
      </c>
      <c r="C61" s="42">
        <f>'2019 Summary'!K4</f>
        <v>1</v>
      </c>
      <c r="D61" s="42">
        <f>'2019 Summary'!L4</f>
        <v>0</v>
      </c>
      <c r="E61" s="42">
        <f>'2019 Summary'!M4</f>
        <v>0</v>
      </c>
      <c r="F61" s="42">
        <f>'2019 Summary'!N4</f>
        <v>0</v>
      </c>
      <c r="G61" s="42">
        <f>'2019 Summary'!O4</f>
        <v>0</v>
      </c>
      <c r="H61" s="18"/>
      <c r="I61" s="18"/>
      <c r="J61" s="18"/>
      <c r="L61" s="45">
        <v>38.333333333333336</v>
      </c>
      <c r="M61" s="3" t="s">
        <v>168</v>
      </c>
      <c r="O61" s="47">
        <v>1</v>
      </c>
      <c r="P61" s="48">
        <v>0.009038594799795128</v>
      </c>
      <c r="Q61" s="46">
        <v>1130.2340486929907</v>
      </c>
      <c r="R61" s="46">
        <v>5286.086589738184</v>
      </c>
      <c r="T61" s="46">
        <v>39558.30407441861</v>
      </c>
      <c r="U61" s="46">
        <v>4147.257590071019</v>
      </c>
      <c r="V61" s="46">
        <v>12218.035266963772</v>
      </c>
      <c r="W61" s="46">
        <v>-2691.6200082462556</v>
      </c>
      <c r="X61" s="46">
        <v>4461.3448348265565</v>
      </c>
      <c r="Y61" s="46">
        <v>0</v>
      </c>
      <c r="Z61" s="46">
        <v>8951.18702953098</v>
      </c>
      <c r="AB61" s="46">
        <v>36530.41471299793</v>
      </c>
      <c r="AC61" s="46">
        <v>13240.685218016619</v>
      </c>
      <c r="AD61" s="49">
        <v>49771.09993101455</v>
      </c>
      <c r="AE61" s="10"/>
      <c r="AF61" s="10">
        <v>45843.38695508111</v>
      </c>
      <c r="AG61" s="10">
        <v>46059.89330959504</v>
      </c>
      <c r="AH61" s="10">
        <v>46605.67174181454</v>
      </c>
      <c r="AI61" s="46">
        <v>49771.09993101455</v>
      </c>
      <c r="AJ61" s="46">
        <v>49771.09993101455</v>
      </c>
      <c r="AK61" s="46"/>
      <c r="AL61" s="46">
        <v>21934.30167694444</v>
      </c>
      <c r="AM61" s="46">
        <v>25399.72</v>
      </c>
      <c r="AN61" s="46">
        <v>23975.906666666666</v>
      </c>
      <c r="AO61" s="46" t="s">
        <v>62</v>
      </c>
      <c r="AP61" s="46">
        <v>-23277.82192424777</v>
      </c>
      <c r="AQ61" s="46">
        <v>-22097.583309595037</v>
      </c>
      <c r="AR61" s="46">
        <v>-22847.396731014545</v>
      </c>
      <c r="AS61" s="10">
        <v>-20069.155731263614</v>
      </c>
      <c r="AT61" s="10">
        <v>-18435.548800277313</v>
      </c>
      <c r="AU61" s="10"/>
      <c r="AV61" s="10">
        <v>22565.565030833335</v>
      </c>
      <c r="AW61" s="10">
        <v>22566</v>
      </c>
      <c r="AX61" s="46">
        <v>25399.72</v>
      </c>
      <c r="AY61" s="102">
        <v>24000</v>
      </c>
      <c r="AZ61" s="46">
        <v>26923.703200000004</v>
      </c>
      <c r="BA61" s="46">
        <v>29701.944199750935</v>
      </c>
      <c r="BB61" s="46">
        <v>31335.551130737236</v>
      </c>
      <c r="BC61" s="38"/>
      <c r="BD61" s="52">
        <v>2548</v>
      </c>
      <c r="BE61" s="53">
        <v>9.675580723644032</v>
      </c>
      <c r="BF61" s="53">
        <v>24653.379683844993</v>
      </c>
      <c r="BG61" s="54">
        <v>0.0029009136472640897</v>
      </c>
      <c r="BH61" s="38"/>
      <c r="BI61" s="38"/>
      <c r="BJ61" s="38"/>
      <c r="BK61" s="38"/>
      <c r="BL61" s="38"/>
      <c r="BM61" s="55">
        <v>48</v>
      </c>
      <c r="BN61" s="55">
        <v>9.666666666666664</v>
      </c>
      <c r="BO61" s="46">
        <v>21016</v>
      </c>
      <c r="BP61" s="46">
        <v>2959.906666666666</v>
      </c>
      <c r="BQ61" s="54">
        <v>0.12559645483257825</v>
      </c>
      <c r="BR61" s="54">
        <v>-0.05737704918032776</v>
      </c>
      <c r="BS61" s="56">
        <v>0.060000000000000095</v>
      </c>
      <c r="BU61" s="103">
        <v>21806</v>
      </c>
      <c r="BV61" s="100">
        <v>3071</v>
      </c>
      <c r="BW61" s="111">
        <f aca="true" t="shared" si="0" ref="BW61:BW72">BV61/BV$103</f>
        <v>0.170016054918895</v>
      </c>
      <c r="BX61" s="10">
        <f>AZ61-(AZ61*((AZ$103-BX$5)/BX$5))</f>
        <v>26269.359530461883</v>
      </c>
      <c r="BY61" s="101"/>
      <c r="BZ61" s="148">
        <f>BX61-CC61</f>
        <v>24431.359530461883</v>
      </c>
      <c r="CA61" s="106">
        <f>(BZ61-AY61)/AY61</f>
        <v>0.017973313769245124</v>
      </c>
      <c r="CC61" s="147">
        <f>3438-600-600-400</f>
        <v>1838</v>
      </c>
      <c r="CD61" s="149">
        <f aca="true" t="shared" si="1" ref="CD61:CD72">CC61/CC$103</f>
        <v>0.07352</v>
      </c>
    </row>
    <row r="62" spans="1:82" ht="15">
      <c r="A62" s="2" t="s">
        <v>278</v>
      </c>
      <c r="B62" s="15" t="s">
        <v>167</v>
      </c>
      <c r="C62" s="42">
        <f>'2019 Summary'!K5</f>
        <v>1</v>
      </c>
      <c r="D62" s="42">
        <f>'2019 Summary'!L5</f>
        <v>1</v>
      </c>
      <c r="E62" s="42">
        <f>'2019 Summary'!M5</f>
        <v>0</v>
      </c>
      <c r="F62" s="42">
        <f>'2019 Summary'!N5</f>
        <v>0</v>
      </c>
      <c r="G62" s="42">
        <f>'2019 Summary'!O5</f>
        <v>0</v>
      </c>
      <c r="H62" s="18"/>
      <c r="I62" s="18"/>
      <c r="J62" s="18"/>
      <c r="L62" s="45">
        <v>95.33333333333334</v>
      </c>
      <c r="M62" s="3" t="s">
        <v>169</v>
      </c>
      <c r="O62" s="47">
        <v>1</v>
      </c>
      <c r="P62" s="48">
        <v>0.009038594799795128</v>
      </c>
      <c r="Q62" s="46">
        <v>1130.2340486929907</v>
      </c>
      <c r="R62" s="46">
        <v>5286.086589738184</v>
      </c>
      <c r="T62" s="46">
        <v>79116.60814883721</v>
      </c>
      <c r="U62" s="46">
        <v>8294.515180142038</v>
      </c>
      <c r="V62" s="46">
        <v>24436.070533927545</v>
      </c>
      <c r="W62" s="46">
        <v>-5383.240016492511</v>
      </c>
      <c r="X62" s="46">
        <v>8922.689669653113</v>
      </c>
      <c r="Y62" s="46">
        <v>-50108</v>
      </c>
      <c r="Z62" s="46">
        <v>8951.18702953098</v>
      </c>
      <c r="AB62" s="46">
        <v>40323.075592014786</v>
      </c>
      <c r="AC62" s="46">
        <v>32929.00845524133</v>
      </c>
      <c r="AD62" s="49">
        <v>73252.08404725612</v>
      </c>
      <c r="AE62" s="10"/>
      <c r="AF62" s="10">
        <v>62580.323999465465</v>
      </c>
      <c r="AG62" s="10">
        <v>63311.16432017431</v>
      </c>
      <c r="AH62" s="10">
        <v>63467.75468509051</v>
      </c>
      <c r="AI62" s="46">
        <v>73252.08404725612</v>
      </c>
      <c r="AJ62" s="46">
        <v>73252.08404725612</v>
      </c>
      <c r="AK62" s="46"/>
      <c r="AL62" s="46">
        <v>50253.41288605556</v>
      </c>
      <c r="AM62" s="46">
        <v>51273.26</v>
      </c>
      <c r="AN62" s="46">
        <v>48041.753333333334</v>
      </c>
      <c r="AO62" s="46" t="s">
        <v>62</v>
      </c>
      <c r="AP62" s="46">
        <v>-18099.605341298797</v>
      </c>
      <c r="AQ62" s="46">
        <v>-14940.32432017431</v>
      </c>
      <c r="AR62" s="46">
        <v>-18902.42844725612</v>
      </c>
      <c r="AS62" s="10">
        <v>-13736.775758677039</v>
      </c>
      <c r="AT62" s="10">
        <v>-10463.433802805193</v>
      </c>
      <c r="AU62" s="10"/>
      <c r="AV62" s="10">
        <v>44480.71865816667</v>
      </c>
      <c r="AW62" s="10">
        <v>44481</v>
      </c>
      <c r="AX62" s="46">
        <v>51273.26</v>
      </c>
      <c r="AY62" s="46">
        <v>48147</v>
      </c>
      <c r="AZ62" s="46">
        <v>54349.655600000006</v>
      </c>
      <c r="BA62" s="46">
        <v>59515.30828857909</v>
      </c>
      <c r="BB62" s="46">
        <v>62788.65024445093</v>
      </c>
      <c r="BC62" s="38"/>
      <c r="BD62" s="52">
        <v>4094</v>
      </c>
      <c r="BE62" s="53">
        <v>9.93</v>
      </c>
      <c r="BF62" s="53">
        <v>40653.42</v>
      </c>
      <c r="BG62" s="54">
        <v>0.004783606239725342</v>
      </c>
      <c r="BH62" s="38"/>
      <c r="BI62" s="38"/>
      <c r="BJ62" s="38"/>
      <c r="BK62" s="38"/>
      <c r="BL62" s="38"/>
      <c r="BM62" s="55">
        <v>93</v>
      </c>
      <c r="BN62" s="55">
        <v>-2.333333333333343</v>
      </c>
      <c r="BO62" s="46">
        <v>41332</v>
      </c>
      <c r="BP62" s="46">
        <v>6709.753333333334</v>
      </c>
      <c r="BQ62" s="54">
        <v>0.15270754490353142</v>
      </c>
      <c r="BR62" s="54">
        <v>-0.013793103448275668</v>
      </c>
      <c r="BS62" s="56">
        <v>0.06000000000000007</v>
      </c>
      <c r="BU62" s="103">
        <v>48147</v>
      </c>
      <c r="BV62" s="100">
        <v>1444</v>
      </c>
      <c r="BW62" s="101">
        <f t="shared" si="0"/>
        <v>0.07994242373913525</v>
      </c>
      <c r="BX62" s="10">
        <f>AZ62-(AZ62*((AZ$103-BX$5)/BX$5))</f>
        <v>53028.76178315549</v>
      </c>
      <c r="BY62" s="101"/>
      <c r="BZ62" s="148">
        <f aca="true" t="shared" si="2" ref="BZ62:BZ72">BX62-CC62</f>
        <v>49753.76178315549</v>
      </c>
      <c r="CA62" s="106">
        <f aca="true" t="shared" si="3" ref="CA62:CA101">ROUND((BZ62-BU62)/BU62,4)</f>
        <v>0.0334</v>
      </c>
      <c r="CC62" s="147">
        <f>2675+600</f>
        <v>3275</v>
      </c>
      <c r="CD62" s="149">
        <f t="shared" si="1"/>
        <v>0.131</v>
      </c>
    </row>
    <row r="63" spans="1:82" ht="15">
      <c r="A63" s="2" t="s">
        <v>279</v>
      </c>
      <c r="B63" s="15" t="s">
        <v>167</v>
      </c>
      <c r="C63" s="42">
        <f>'2019 Summary'!K6</f>
        <v>1</v>
      </c>
      <c r="D63" s="42">
        <f>'2019 Summary'!L6</f>
        <v>0</v>
      </c>
      <c r="E63" s="42">
        <f>'2019 Summary'!M6</f>
        <v>0</v>
      </c>
      <c r="F63" s="42">
        <f>'2019 Summary'!N6</f>
        <v>0</v>
      </c>
      <c r="G63" s="42">
        <f>'2019 Summary'!O6</f>
        <v>0</v>
      </c>
      <c r="H63" s="18"/>
      <c r="I63" s="18"/>
      <c r="J63" s="18"/>
      <c r="L63" s="45">
        <v>92</v>
      </c>
      <c r="M63" s="3" t="s">
        <v>170</v>
      </c>
      <c r="O63" s="47">
        <v>1</v>
      </c>
      <c r="P63" s="48">
        <v>0.009038594799795128</v>
      </c>
      <c r="Q63" s="46">
        <v>1130.2340486929907</v>
      </c>
      <c r="R63" s="46">
        <v>5286.086589738184</v>
      </c>
      <c r="T63" s="46">
        <v>39558.30407441861</v>
      </c>
      <c r="U63" s="46">
        <v>4147.257590071019</v>
      </c>
      <c r="V63" s="46">
        <v>12218.035266963772</v>
      </c>
      <c r="W63" s="46">
        <v>-2691.6200082462556</v>
      </c>
      <c r="X63" s="46">
        <v>4461.3448348265565</v>
      </c>
      <c r="Y63" s="46">
        <v>0</v>
      </c>
      <c r="Z63" s="46">
        <v>8951.18702953098</v>
      </c>
      <c r="AB63" s="46">
        <v>36530.41471299793</v>
      </c>
      <c r="AC63" s="46">
        <v>31777.64452323988</v>
      </c>
      <c r="AD63" s="49">
        <v>68308.05923623781</v>
      </c>
      <c r="AE63" s="10"/>
      <c r="AF63" s="10">
        <v>60403.79845090094</v>
      </c>
      <c r="AG63" s="10">
        <v>64089.813027240176</v>
      </c>
      <c r="AH63" s="10">
        <v>64472.34131193714</v>
      </c>
      <c r="AI63" s="46">
        <v>68308.05923623781</v>
      </c>
      <c r="AJ63" s="46">
        <v>68308.05923623781</v>
      </c>
      <c r="AK63" s="46"/>
      <c r="AL63" s="46">
        <v>60913.509034333336</v>
      </c>
      <c r="AM63" s="46">
        <v>64431.06446772511</v>
      </c>
      <c r="AN63" s="46">
        <v>62938.021489241706</v>
      </c>
      <c r="AO63" s="46" t="s">
        <v>62</v>
      </c>
      <c r="AP63" s="46">
        <v>-71.56134790094802</v>
      </c>
      <c r="AQ63" s="46">
        <v>0</v>
      </c>
      <c r="AR63" s="46">
        <v>-11.130900449192268</v>
      </c>
      <c r="AS63" s="10">
        <v>0</v>
      </c>
      <c r="AT63" s="10">
        <v>0</v>
      </c>
      <c r="AU63" s="10"/>
      <c r="AV63" s="10">
        <v>60332.23710299999</v>
      </c>
      <c r="AW63" s="10">
        <v>60332</v>
      </c>
      <c r="AX63" s="46">
        <v>64431.06446772511</v>
      </c>
      <c r="AY63" s="102">
        <v>66626</v>
      </c>
      <c r="AZ63" s="46">
        <v>68296.92833578862</v>
      </c>
      <c r="BA63" s="46">
        <v>68308.05923623781</v>
      </c>
      <c r="BB63" s="46">
        <v>68308.05923623781</v>
      </c>
      <c r="BC63" s="38"/>
      <c r="BD63" s="52">
        <v>2911</v>
      </c>
      <c r="BE63" s="53">
        <v>15.195197389396228</v>
      </c>
      <c r="BF63" s="53">
        <v>44233.219600532415</v>
      </c>
      <c r="BG63" s="54">
        <v>0.005204834065233581</v>
      </c>
      <c r="BH63" s="38"/>
      <c r="BI63" s="38"/>
      <c r="BJ63" s="38"/>
      <c r="BK63" s="38"/>
      <c r="BL63" s="38"/>
      <c r="BM63" s="55">
        <v>69</v>
      </c>
      <c r="BN63" s="55">
        <v>-23</v>
      </c>
      <c r="BO63" s="46">
        <v>54045</v>
      </c>
      <c r="BP63" s="46">
        <v>8893.021489241706</v>
      </c>
      <c r="BQ63" s="54">
        <v>0.06793759955772147</v>
      </c>
      <c r="BR63" s="54">
        <v>0.11290322580645173</v>
      </c>
      <c r="BS63" s="56">
        <v>0.05999999999999997</v>
      </c>
      <c r="BU63" s="103">
        <v>64431</v>
      </c>
      <c r="BV63" s="100">
        <v>1312</v>
      </c>
      <c r="BW63" s="101">
        <f t="shared" si="0"/>
        <v>0.07263466755245529</v>
      </c>
      <c r="BX63" s="10">
        <f>AZ63-(AZ63*((AZ$103-BX$5)/BX$5))</f>
        <v>66637.06518942093</v>
      </c>
      <c r="BY63" s="101"/>
      <c r="BZ63" s="148">
        <f t="shared" si="2"/>
        <v>66637.06518942093</v>
      </c>
      <c r="CA63" s="106">
        <f t="shared" si="3"/>
        <v>0.0342</v>
      </c>
      <c r="CC63" s="166">
        <v>0</v>
      </c>
      <c r="CD63" s="149">
        <f t="shared" si="1"/>
        <v>0</v>
      </c>
    </row>
    <row r="64" spans="1:82" ht="15">
      <c r="A64" s="2" t="s">
        <v>171</v>
      </c>
      <c r="B64" s="15" t="s">
        <v>167</v>
      </c>
      <c r="C64" s="42">
        <f>'2019 Summary'!K7</f>
        <v>1</v>
      </c>
      <c r="D64" s="42">
        <f>'2019 Summary'!L7</f>
        <v>0</v>
      </c>
      <c r="E64" s="42">
        <f>'2019 Summary'!M7</f>
        <v>0</v>
      </c>
      <c r="F64" s="42">
        <f>'2019 Summary'!N7</f>
        <v>0</v>
      </c>
      <c r="G64" s="42">
        <f>'2019 Summary'!O7</f>
        <v>1</v>
      </c>
      <c r="H64" s="18"/>
      <c r="I64" s="18"/>
      <c r="J64" s="18"/>
      <c r="L64" s="45">
        <v>65</v>
      </c>
      <c r="M64" s="3" t="s">
        <v>172</v>
      </c>
      <c r="O64" s="47">
        <v>1.05</v>
      </c>
      <c r="P64" s="48">
        <v>0.009490524539784885</v>
      </c>
      <c r="Q64" s="46">
        <v>1186.7457511276402</v>
      </c>
      <c r="R64" s="46">
        <v>5550.390919225093</v>
      </c>
      <c r="T64" s="46">
        <v>39558.30407441861</v>
      </c>
      <c r="U64" s="46">
        <v>4147.257590071019</v>
      </c>
      <c r="V64" s="46">
        <v>12218.035266963772</v>
      </c>
      <c r="W64" s="46">
        <v>-2691.6200082462556</v>
      </c>
      <c r="X64" s="46">
        <v>8922.689669653113</v>
      </c>
      <c r="Y64" s="46">
        <v>0</v>
      </c>
      <c r="Z64" s="46">
        <v>8951.18702953098</v>
      </c>
      <c r="AB64" s="46">
        <v>38921.495146371984</v>
      </c>
      <c r="AC64" s="46">
        <v>22451.596674028176</v>
      </c>
      <c r="AD64" s="49">
        <v>61373.091820400165</v>
      </c>
      <c r="AE64" s="10"/>
      <c r="AF64" s="10">
        <v>54824.81943610616</v>
      </c>
      <c r="AG64" s="10">
        <v>55388.292165599014</v>
      </c>
      <c r="AH64" s="10">
        <v>55208.842191203854</v>
      </c>
      <c r="AI64" s="46">
        <v>61373.091820400165</v>
      </c>
      <c r="AJ64" s="46">
        <v>61373.091820400165</v>
      </c>
      <c r="AK64" s="46"/>
      <c r="AL64" s="46">
        <v>48278.5343775</v>
      </c>
      <c r="AM64" s="46">
        <v>53757.9</v>
      </c>
      <c r="AN64" s="46">
        <v>50846.96666666667</v>
      </c>
      <c r="AO64" s="46" t="s">
        <v>62</v>
      </c>
      <c r="AP64" s="46">
        <v>-6756.6863036061695</v>
      </c>
      <c r="AQ64" s="46">
        <v>-4673.132165599003</v>
      </c>
      <c r="AR64" s="46">
        <v>-4389.717820400161</v>
      </c>
      <c r="AS64" s="10">
        <v>0</v>
      </c>
      <c r="AT64" s="10">
        <v>0</v>
      </c>
      <c r="AU64" s="10"/>
      <c r="AV64" s="10">
        <v>48068.13313249999</v>
      </c>
      <c r="AW64" s="10">
        <v>48068</v>
      </c>
      <c r="AX64" s="46">
        <v>53757.9</v>
      </c>
      <c r="AY64" s="46">
        <v>50345</v>
      </c>
      <c r="AZ64" s="46">
        <v>56983.374</v>
      </c>
      <c r="BA64" s="46">
        <v>61373.091820400165</v>
      </c>
      <c r="BB64" s="46">
        <v>61373.091820400165</v>
      </c>
      <c r="BC64" s="38"/>
      <c r="BD64" s="52">
        <v>7121</v>
      </c>
      <c r="BE64" s="53">
        <v>15.701390084304935</v>
      </c>
      <c r="BF64" s="53">
        <v>111809.59879033544</v>
      </c>
      <c r="BG64" s="54">
        <v>0.01315641081204572</v>
      </c>
      <c r="BH64" s="38"/>
      <c r="BI64" s="38"/>
      <c r="BJ64" s="38"/>
      <c r="BK64" s="38"/>
      <c r="BL64" s="38"/>
      <c r="BM64" s="55">
        <v>69</v>
      </c>
      <c r="BN64" s="55">
        <v>4</v>
      </c>
      <c r="BO64" s="46">
        <v>44000</v>
      </c>
      <c r="BP64" s="46">
        <v>6846.966666666667</v>
      </c>
      <c r="BQ64" s="54">
        <v>0.11836879231020156</v>
      </c>
      <c r="BR64" s="54">
        <v>0.015625</v>
      </c>
      <c r="BS64" s="56">
        <v>0.06000000000000003</v>
      </c>
      <c r="BU64" s="103">
        <v>50345</v>
      </c>
      <c r="BV64" s="100">
        <v>1911</v>
      </c>
      <c r="BW64" s="101">
        <f t="shared" si="0"/>
        <v>0.10579637933898024</v>
      </c>
      <c r="BX64" s="10">
        <f>AZ64-(AZ64*((AZ$103-BX$5)/BX$5))</f>
        <v>55598.471270652466</v>
      </c>
      <c r="BY64" s="101"/>
      <c r="BZ64" s="148">
        <f t="shared" si="2"/>
        <v>52660.471270652466</v>
      </c>
      <c r="CA64" s="106">
        <f t="shared" si="3"/>
        <v>0.046</v>
      </c>
      <c r="CC64" s="147">
        <v>2938</v>
      </c>
      <c r="CD64" s="149">
        <f t="shared" si="1"/>
        <v>0.11752</v>
      </c>
    </row>
    <row r="65" spans="1:82" ht="15">
      <c r="A65" s="2" t="s">
        <v>281</v>
      </c>
      <c r="B65" s="15" t="s">
        <v>167</v>
      </c>
      <c r="C65" s="42">
        <f>'2019 Summary'!K8</f>
        <v>1</v>
      </c>
      <c r="D65" s="42">
        <f>'2019 Summary'!L8</f>
        <v>0</v>
      </c>
      <c r="E65" s="42">
        <f>'2019 Summary'!M8</f>
        <v>0</v>
      </c>
      <c r="F65" s="42">
        <f>'2019 Summary'!N8</f>
        <v>0</v>
      </c>
      <c r="G65" s="42">
        <f>'2019 Summary'!O8</f>
        <v>0</v>
      </c>
      <c r="H65" s="18"/>
      <c r="I65" s="18"/>
      <c r="J65" s="18"/>
      <c r="L65" s="45">
        <v>313.3333333333333</v>
      </c>
      <c r="M65" s="3" t="s">
        <v>173</v>
      </c>
      <c r="O65" s="47">
        <v>1</v>
      </c>
      <c r="P65" s="48">
        <v>0.009038594799795128</v>
      </c>
      <c r="Q65" s="46">
        <v>1130.2340486929907</v>
      </c>
      <c r="R65" s="46">
        <v>5286.086589738184</v>
      </c>
      <c r="T65" s="46">
        <v>39558.30407441861</v>
      </c>
      <c r="U65" s="46">
        <v>4147.257590071019</v>
      </c>
      <c r="V65" s="46">
        <v>12218.035266963772</v>
      </c>
      <c r="W65" s="46">
        <v>-2691.6200082462556</v>
      </c>
      <c r="X65" s="46">
        <v>4461.3448348265565</v>
      </c>
      <c r="Y65" s="46">
        <v>0</v>
      </c>
      <c r="Z65" s="46">
        <v>8951.18702953098</v>
      </c>
      <c r="AB65" s="46">
        <v>36530.41471299793</v>
      </c>
      <c r="AC65" s="46">
        <v>108228.2096081358</v>
      </c>
      <c r="AD65" s="49">
        <v>144758.62432113374</v>
      </c>
      <c r="AE65" s="10"/>
      <c r="AF65" s="10">
        <v>136815.60124812913</v>
      </c>
      <c r="AG65" s="10">
        <v>134077.44288193295</v>
      </c>
      <c r="AH65" s="10">
        <v>138833.4761746097</v>
      </c>
      <c r="AI65" s="46">
        <v>144758.62432113374</v>
      </c>
      <c r="AJ65" s="46">
        <v>144758.62432113374</v>
      </c>
      <c r="AK65" s="164"/>
      <c r="AL65" s="46">
        <v>65498.10328833334</v>
      </c>
      <c r="AM65" s="46">
        <v>74956.84</v>
      </c>
      <c r="AN65" s="46">
        <v>70756.94666666667</v>
      </c>
      <c r="AO65" s="46" t="s">
        <v>54</v>
      </c>
      <c r="AP65" s="46">
        <v>-70215.62138312912</v>
      </c>
      <c r="AQ65" s="46">
        <v>-63363.04288193294</v>
      </c>
      <c r="AR65" s="46">
        <v>-65304.37392113374</v>
      </c>
      <c r="AS65" s="10">
        <v>-57103.17458750866</v>
      </c>
      <c r="AT65" s="10">
        <v>-52282.12485215929</v>
      </c>
      <c r="AU65" s="10"/>
      <c r="AV65" s="10">
        <v>66599.979865</v>
      </c>
      <c r="AW65" s="10">
        <v>66600</v>
      </c>
      <c r="AX65" s="46">
        <v>74956.84</v>
      </c>
      <c r="AY65" s="46">
        <v>74127</v>
      </c>
      <c r="AZ65" s="46">
        <v>79454.2504</v>
      </c>
      <c r="BA65" s="46">
        <v>87655.44973362508</v>
      </c>
      <c r="BB65" s="46">
        <v>92476.49946897445</v>
      </c>
      <c r="BC65" s="38"/>
      <c r="BD65" s="52">
        <v>4153</v>
      </c>
      <c r="BE65" s="53">
        <v>4.750731837903142</v>
      </c>
      <c r="BF65" s="53">
        <v>19729.789322811746</v>
      </c>
      <c r="BG65" s="54">
        <v>0.0023215646632698725</v>
      </c>
      <c r="BH65" s="38"/>
      <c r="BI65" s="38"/>
      <c r="BJ65" s="38"/>
      <c r="BK65" s="38"/>
      <c r="BL65" s="38"/>
      <c r="BM65" s="55">
        <v>345</v>
      </c>
      <c r="BN65" s="55">
        <v>31.666666666666686</v>
      </c>
      <c r="BO65" s="46">
        <v>61192</v>
      </c>
      <c r="BP65" s="46">
        <v>9564.94666666667</v>
      </c>
      <c r="BQ65" s="54">
        <v>0.12547841834096018</v>
      </c>
      <c r="BR65" s="54">
        <v>-0.07389162561576355</v>
      </c>
      <c r="BS65" s="56">
        <v>0.06000000000000011</v>
      </c>
      <c r="BU65" s="103">
        <v>74127</v>
      </c>
      <c r="BV65" s="100">
        <v>377</v>
      </c>
      <c r="BW65" s="101">
        <f t="shared" si="0"/>
        <v>0.02087139456347229</v>
      </c>
      <c r="BX65" s="10">
        <f>AZ65-(AZ65*((AZ$103-BX$5)/BX$5))+386</f>
        <v>77909.22384763716</v>
      </c>
      <c r="BY65" s="101"/>
      <c r="BZ65" s="148">
        <f t="shared" si="2"/>
        <v>78584.22384763716</v>
      </c>
      <c r="CA65" s="106">
        <f t="shared" si="3"/>
        <v>0.0601</v>
      </c>
      <c r="CC65" s="150">
        <v>-675</v>
      </c>
      <c r="CD65" s="165">
        <f t="shared" si="1"/>
        <v>-0.027</v>
      </c>
    </row>
    <row r="66" spans="1:82" ht="15">
      <c r="A66" s="2" t="s">
        <v>282</v>
      </c>
      <c r="B66" s="15" t="s">
        <v>167</v>
      </c>
      <c r="C66" s="135">
        <f>'2019 Summary'!K9</f>
        <v>0.66</v>
      </c>
      <c r="D66" s="42">
        <f>'2019 Summary'!L9</f>
        <v>0</v>
      </c>
      <c r="E66" s="42">
        <f>'2019 Summary'!M9</f>
        <v>0</v>
      </c>
      <c r="F66" s="42">
        <f>'2019 Summary'!N9</f>
        <v>0</v>
      </c>
      <c r="G66" s="42">
        <f>'2019 Summary'!O9</f>
        <v>0</v>
      </c>
      <c r="H66" s="18"/>
      <c r="I66" s="18"/>
      <c r="J66" s="18"/>
      <c r="L66" s="45">
        <v>73.83333333333333</v>
      </c>
      <c r="M66" s="3" t="s">
        <v>174</v>
      </c>
      <c r="O66" s="47">
        <v>0.66</v>
      </c>
      <c r="P66" s="48">
        <v>0.005965472567864785</v>
      </c>
      <c r="Q66" s="46">
        <v>745.954472137374</v>
      </c>
      <c r="R66" s="46">
        <v>3488.8171492272018</v>
      </c>
      <c r="T66" s="46">
        <v>26108.480689116284</v>
      </c>
      <c r="U66" s="46">
        <v>2737.190009446873</v>
      </c>
      <c r="V66" s="46">
        <v>8063.903276196091</v>
      </c>
      <c r="W66" s="46">
        <v>-1776.4692054425284</v>
      </c>
      <c r="X66" s="46">
        <v>2944.4875909855273</v>
      </c>
      <c r="Y66" s="46">
        <v>0</v>
      </c>
      <c r="Z66" s="46">
        <v>5907.783439490447</v>
      </c>
      <c r="AB66" s="46">
        <v>24110.07371057864</v>
      </c>
      <c r="AC66" s="46">
        <v>25502.711093832004</v>
      </c>
      <c r="AD66" s="49">
        <v>49612.78480441064</v>
      </c>
      <c r="AE66" s="10"/>
      <c r="AF66" s="10">
        <v>42259.410242183454</v>
      </c>
      <c r="AG66" s="10">
        <v>42923.64879658788</v>
      </c>
      <c r="AH66" s="10">
        <v>44851.0018769217</v>
      </c>
      <c r="AI66" s="46">
        <v>49612.78480441064</v>
      </c>
      <c r="AJ66" s="46">
        <v>49612.78480441064</v>
      </c>
      <c r="AK66" s="164"/>
      <c r="AL66" s="46">
        <v>37384.15813627777</v>
      </c>
      <c r="AM66" s="46">
        <v>37051.240000000005</v>
      </c>
      <c r="AN66" s="46">
        <v>35236.08</v>
      </c>
      <c r="AO66" s="46" t="s">
        <v>54</v>
      </c>
      <c r="AP66" s="46">
        <v>-8556.885833350127</v>
      </c>
      <c r="AQ66" s="46">
        <v>-7970.118796587871</v>
      </c>
      <c r="AR66" s="46">
        <v>-10338.470404410633</v>
      </c>
      <c r="AS66" s="10">
        <v>-5961.460309016096</v>
      </c>
      <c r="AT66" s="10">
        <v>-3560.637461769402</v>
      </c>
      <c r="AU66" s="10"/>
      <c r="AV66" s="10">
        <v>33702.52440883333</v>
      </c>
      <c r="AW66" s="10">
        <v>33703</v>
      </c>
      <c r="AX66" s="46">
        <v>37051.240000000005</v>
      </c>
      <c r="AY66" s="46">
        <v>34238</v>
      </c>
      <c r="AZ66" s="46">
        <v>39274.31440000001</v>
      </c>
      <c r="BA66" s="46">
        <v>43651.32449539455</v>
      </c>
      <c r="BB66" s="46">
        <v>46052.14734264124</v>
      </c>
      <c r="BC66" s="38"/>
      <c r="BD66" s="52">
        <v>2955</v>
      </c>
      <c r="BE66" s="53">
        <v>10.55880437612561</v>
      </c>
      <c r="BF66" s="53">
        <v>31201.266931451177</v>
      </c>
      <c r="BG66" s="54">
        <v>0.0036713903819316023</v>
      </c>
      <c r="BH66" s="38"/>
      <c r="BI66" s="38"/>
      <c r="BJ66" s="38"/>
      <c r="BK66" s="38"/>
      <c r="BL66" s="38"/>
      <c r="BM66" s="55">
        <v>66</v>
      </c>
      <c r="BN66" s="55">
        <v>-7.833333333333329</v>
      </c>
      <c r="BO66" s="46">
        <v>30157</v>
      </c>
      <c r="BP66" s="46">
        <v>5079.080000000002</v>
      </c>
      <c r="BQ66" s="54">
        <v>0.09936097220922091</v>
      </c>
      <c r="BR66" s="54">
        <v>0.1019900497512437</v>
      </c>
      <c r="BS66" s="56">
        <v>0.06000000000000012</v>
      </c>
      <c r="BU66" s="103">
        <v>34238</v>
      </c>
      <c r="BV66" s="100">
        <v>1788</v>
      </c>
      <c r="BW66" s="101">
        <f t="shared" si="0"/>
        <v>0.09898687925593755</v>
      </c>
      <c r="BX66" s="10">
        <f aca="true" t="shared" si="4" ref="BX66:BX72">AZ66-(AZ66*((AZ$103-BX$5)/BX$5))</f>
        <v>38319.806069099606</v>
      </c>
      <c r="BY66" s="101"/>
      <c r="BZ66" s="148">
        <f t="shared" si="2"/>
        <v>35819.806069099606</v>
      </c>
      <c r="CA66" s="106">
        <f t="shared" si="3"/>
        <v>0.0462</v>
      </c>
      <c r="CC66" s="147">
        <v>2500</v>
      </c>
      <c r="CD66" s="149">
        <f t="shared" si="1"/>
        <v>0.1</v>
      </c>
    </row>
    <row r="67" spans="1:82" ht="15">
      <c r="A67" s="2" t="s">
        <v>284</v>
      </c>
      <c r="B67" s="15" t="s">
        <v>167</v>
      </c>
      <c r="C67" s="42">
        <f>'2019 Summary'!K10</f>
        <v>1</v>
      </c>
      <c r="D67" s="42">
        <f>'2019 Summary'!L10</f>
        <v>0</v>
      </c>
      <c r="E67" s="42">
        <f>'2019 Summary'!M10</f>
        <v>0</v>
      </c>
      <c r="F67" s="42">
        <f>'2019 Summary'!N10</f>
        <v>0</v>
      </c>
      <c r="G67" s="42">
        <f>'2019 Summary'!O10</f>
        <v>0</v>
      </c>
      <c r="H67" s="18"/>
      <c r="I67" s="18"/>
      <c r="J67" s="18"/>
      <c r="L67" s="45">
        <v>68.33333333333333</v>
      </c>
      <c r="M67" s="3" t="s">
        <v>175</v>
      </c>
      <c r="O67" s="47">
        <v>1</v>
      </c>
      <c r="P67" s="48">
        <v>0.009038594799795128</v>
      </c>
      <c r="Q67" s="46">
        <v>1130.2340486929907</v>
      </c>
      <c r="R67" s="46">
        <v>5286.086589738184</v>
      </c>
      <c r="T67" s="46">
        <v>39558.30407441861</v>
      </c>
      <c r="U67" s="46">
        <v>4147.257590071019</v>
      </c>
      <c r="V67" s="46">
        <v>12218.035266963772</v>
      </c>
      <c r="W67" s="46">
        <v>-2691.6200082462556</v>
      </c>
      <c r="X67" s="46">
        <v>4461.3448348265565</v>
      </c>
      <c r="Y67" s="46">
        <v>0</v>
      </c>
      <c r="Z67" s="46">
        <v>8951.18702953098</v>
      </c>
      <c r="AB67" s="46">
        <v>36530.41471299793</v>
      </c>
      <c r="AC67" s="46">
        <v>23602.96060602962</v>
      </c>
      <c r="AD67" s="49">
        <v>60133.37531902755</v>
      </c>
      <c r="AE67" s="10"/>
      <c r="AF67" s="10">
        <v>58196.84048784099</v>
      </c>
      <c r="AG67" s="10">
        <v>59719.25745286896</v>
      </c>
      <c r="AH67" s="10">
        <v>58886.903471541096</v>
      </c>
      <c r="AI67" s="46">
        <v>60133.37531902755</v>
      </c>
      <c r="AJ67" s="46">
        <v>60133.37531902755</v>
      </c>
      <c r="AK67" s="164"/>
      <c r="AL67" s="46">
        <v>45007.01408094445</v>
      </c>
      <c r="AM67" s="46">
        <v>47860.060000000005</v>
      </c>
      <c r="AN67" s="46">
        <v>45626.35333333333</v>
      </c>
      <c r="AO67" s="46" t="s">
        <v>62</v>
      </c>
      <c r="AP67" s="46">
        <v>-14328.738245007655</v>
      </c>
      <c r="AQ67" s="46">
        <v>-14568.527452868955</v>
      </c>
      <c r="AR67" s="46">
        <v>-9401.711719027546</v>
      </c>
      <c r="AS67" s="10">
        <v>-3610.3240915680944</v>
      </c>
      <c r="AT67" s="10">
        <v>-501.55627405782434</v>
      </c>
      <c r="AU67" s="10"/>
      <c r="AV67" s="10">
        <v>43868.10224283334</v>
      </c>
      <c r="AW67" s="10">
        <v>43868</v>
      </c>
      <c r="AX67" s="46">
        <v>47860.060000000005</v>
      </c>
      <c r="AY67" s="46">
        <v>44727</v>
      </c>
      <c r="AZ67" s="46">
        <v>50731.66360000001</v>
      </c>
      <c r="BA67" s="46">
        <v>56523.05122745946</v>
      </c>
      <c r="BB67" s="46">
        <v>59631.81904496973</v>
      </c>
      <c r="BC67" s="38"/>
      <c r="BD67" s="52">
        <v>3546</v>
      </c>
      <c r="BE67" s="53">
        <v>9.9575</v>
      </c>
      <c r="BF67" s="53">
        <v>35309.295</v>
      </c>
      <c r="BG67" s="54">
        <v>0.004154773789814063</v>
      </c>
      <c r="BH67" s="38"/>
      <c r="BI67" s="38"/>
      <c r="BJ67" s="38"/>
      <c r="BK67" s="38"/>
      <c r="BL67" s="38"/>
      <c r="BM67" s="55">
        <v>79</v>
      </c>
      <c r="BN67" s="55">
        <v>10.666666666666671</v>
      </c>
      <c r="BO67" s="46">
        <v>38000</v>
      </c>
      <c r="BP67" s="46">
        <v>7626.353333333333</v>
      </c>
      <c r="BQ67" s="54">
        <v>0.09099909850371579</v>
      </c>
      <c r="BR67" s="54">
        <v>-0.1666666666666667</v>
      </c>
      <c r="BS67" s="56">
        <v>0.06000000000000004</v>
      </c>
      <c r="BU67" s="103">
        <v>44727</v>
      </c>
      <c r="BV67" s="100">
        <v>1426</v>
      </c>
      <c r="BW67" s="101">
        <f t="shared" si="0"/>
        <v>0.07894591153186072</v>
      </c>
      <c r="BX67" s="10">
        <f t="shared" si="4"/>
        <v>49498.700115177555</v>
      </c>
      <c r="BY67" s="101"/>
      <c r="BZ67" s="148">
        <f t="shared" si="2"/>
        <v>46798.700115177555</v>
      </c>
      <c r="CA67" s="106">
        <f t="shared" si="3"/>
        <v>0.0463</v>
      </c>
      <c r="CC67" s="147">
        <v>2700</v>
      </c>
      <c r="CD67" s="149">
        <f t="shared" si="1"/>
        <v>0.108</v>
      </c>
    </row>
    <row r="68" spans="1:82" ht="15">
      <c r="A68" s="2" t="s">
        <v>285</v>
      </c>
      <c r="B68" s="15" t="s">
        <v>167</v>
      </c>
      <c r="C68" s="42">
        <f>'2019 Summary'!K11</f>
        <v>1</v>
      </c>
      <c r="D68" s="42">
        <f>'2019 Summary'!L11</f>
        <v>1</v>
      </c>
      <c r="E68" s="42">
        <f>'2019 Summary'!M11</f>
        <v>0</v>
      </c>
      <c r="F68" s="42">
        <f>'2019 Summary'!N11</f>
        <v>0</v>
      </c>
      <c r="G68" s="42">
        <f>'2019 Summary'!O11</f>
        <v>0</v>
      </c>
      <c r="H68" s="18"/>
      <c r="I68" s="18"/>
      <c r="J68" s="18"/>
      <c r="L68" s="45">
        <v>130.66666666666666</v>
      </c>
      <c r="M68" s="3" t="s">
        <v>176</v>
      </c>
      <c r="O68" s="47">
        <v>1</v>
      </c>
      <c r="P68" s="48">
        <v>0.009038594799795128</v>
      </c>
      <c r="Q68" s="46">
        <v>1130.2340486929907</v>
      </c>
      <c r="R68" s="46">
        <v>5286.086589738184</v>
      </c>
      <c r="T68" s="46">
        <v>79116.60814883721</v>
      </c>
      <c r="U68" s="46">
        <v>8294.515180142038</v>
      </c>
      <c r="V68" s="46">
        <v>24436.070533927545</v>
      </c>
      <c r="W68" s="46">
        <v>-5383.240016492511</v>
      </c>
      <c r="X68" s="46">
        <v>8922.689669653113</v>
      </c>
      <c r="Y68" s="46">
        <v>-50108</v>
      </c>
      <c r="Z68" s="46">
        <v>8951.18702953098</v>
      </c>
      <c r="AB68" s="46">
        <v>40323.075592014786</v>
      </c>
      <c r="AC68" s="46">
        <v>45133.46613445664</v>
      </c>
      <c r="AD68" s="49">
        <v>85456.54172647142</v>
      </c>
      <c r="AE68" s="10"/>
      <c r="AF68" s="10">
        <v>65967.56125844803</v>
      </c>
      <c r="AG68" s="10">
        <v>66700.71023720894</v>
      </c>
      <c r="AH68" s="10">
        <v>67372.19724323861</v>
      </c>
      <c r="AI68" s="46">
        <v>85456.54172647142</v>
      </c>
      <c r="AJ68" s="46">
        <v>85456.54172647142</v>
      </c>
      <c r="AK68" s="164"/>
      <c r="AL68" s="46">
        <v>49286.50945005555</v>
      </c>
      <c r="AM68" s="46">
        <v>50437.98</v>
      </c>
      <c r="AN68" s="46">
        <v>47686.99333333334</v>
      </c>
      <c r="AO68" s="46" t="s">
        <v>54</v>
      </c>
      <c r="AP68" s="46">
        <v>-20927.782908281362</v>
      </c>
      <c r="AQ68" s="46">
        <v>-19117.23023720894</v>
      </c>
      <c r="AR68" s="46">
        <v>-31992.282926471416</v>
      </c>
      <c r="AS68" s="10">
        <v>-26380.718870948054</v>
      </c>
      <c r="AT68" s="10">
        <v>-23131.548613894272</v>
      </c>
      <c r="AU68" s="10"/>
      <c r="AV68" s="10">
        <v>45039.77835016666</v>
      </c>
      <c r="AW68" s="10">
        <v>45040</v>
      </c>
      <c r="AX68" s="46">
        <v>50437.98</v>
      </c>
      <c r="AY68" s="46">
        <v>48402</v>
      </c>
      <c r="AZ68" s="46">
        <v>53464.2588</v>
      </c>
      <c r="BA68" s="46">
        <v>59075.822855523365</v>
      </c>
      <c r="BB68" s="46">
        <v>62324.99311257715</v>
      </c>
      <c r="BC68" s="38"/>
      <c r="BD68" s="52">
        <v>6218</v>
      </c>
      <c r="BE68" s="53">
        <v>19.59777515518012</v>
      </c>
      <c r="BF68" s="53">
        <v>121858.96591490999</v>
      </c>
      <c r="BG68" s="54">
        <v>0.01433889964773053</v>
      </c>
      <c r="BH68" s="38"/>
      <c r="BI68" s="38"/>
      <c r="BJ68" s="38"/>
      <c r="BK68" s="38"/>
      <c r="BL68" s="38"/>
      <c r="BM68" s="55">
        <v>119</v>
      </c>
      <c r="BN68" s="55">
        <v>-11.666666666666657</v>
      </c>
      <c r="BO68" s="46">
        <v>40918</v>
      </c>
      <c r="BP68" s="46">
        <v>6768.993333333339</v>
      </c>
      <c r="BQ68" s="54">
        <v>0.11985409004157242</v>
      </c>
      <c r="BR68" s="54">
        <v>0.20987654320987645</v>
      </c>
      <c r="BS68" s="56">
        <v>0.06</v>
      </c>
      <c r="BU68" s="103">
        <v>48402</v>
      </c>
      <c r="BV68" s="100">
        <v>1119</v>
      </c>
      <c r="BW68" s="101">
        <f t="shared" si="0"/>
        <v>0.061949842218900514</v>
      </c>
      <c r="BX68" s="10">
        <f t="shared" si="4"/>
        <v>52164.88333770001</v>
      </c>
      <c r="BY68" s="101"/>
      <c r="BZ68" s="148">
        <f t="shared" si="2"/>
        <v>50215.88333770001</v>
      </c>
      <c r="CA68" s="106">
        <f t="shared" si="3"/>
        <v>0.0375</v>
      </c>
      <c r="CC68" s="147">
        <f>1549+400</f>
        <v>1949</v>
      </c>
      <c r="CD68" s="149">
        <f t="shared" si="1"/>
        <v>0.07796</v>
      </c>
    </row>
    <row r="69" spans="1:82" ht="15">
      <c r="A69" s="2" t="s">
        <v>269</v>
      </c>
      <c r="B69" s="15" t="s">
        <v>167</v>
      </c>
      <c r="C69" s="42">
        <f>'2019 Summary'!K12</f>
        <v>1</v>
      </c>
      <c r="D69" s="42">
        <f>'2019 Summary'!L12</f>
        <v>0</v>
      </c>
      <c r="E69" s="42">
        <f>'2019 Summary'!M12</f>
        <v>0</v>
      </c>
      <c r="F69" s="42">
        <f>'2019 Summary'!N12</f>
        <v>0</v>
      </c>
      <c r="G69" s="42">
        <f>'2019 Summary'!O12</f>
        <v>0</v>
      </c>
      <c r="H69" s="18"/>
      <c r="I69" s="18"/>
      <c r="J69" s="18"/>
      <c r="L69" s="45">
        <v>126.66666666666666</v>
      </c>
      <c r="M69" s="3" t="s">
        <v>177</v>
      </c>
      <c r="O69" s="47">
        <v>1</v>
      </c>
      <c r="P69" s="48">
        <v>0.009038594799795128</v>
      </c>
      <c r="Q69" s="46">
        <v>1130.2340486929907</v>
      </c>
      <c r="R69" s="46">
        <v>5286.086589738184</v>
      </c>
      <c r="T69" s="46">
        <v>39558.30407441861</v>
      </c>
      <c r="U69" s="46">
        <v>4147.257590071019</v>
      </c>
      <c r="V69" s="46">
        <v>12218.035266963772</v>
      </c>
      <c r="W69" s="46">
        <v>-2691.6200082462556</v>
      </c>
      <c r="X69" s="46">
        <v>4461.3448348265565</v>
      </c>
      <c r="Y69" s="46">
        <v>0</v>
      </c>
      <c r="Z69" s="46">
        <v>8951.18702953098</v>
      </c>
      <c r="AB69" s="46">
        <v>36530.41471299793</v>
      </c>
      <c r="AC69" s="46">
        <v>43751.829416054905</v>
      </c>
      <c r="AD69" s="49">
        <v>80282.24412905284</v>
      </c>
      <c r="AE69" s="10"/>
      <c r="AF69" s="10">
        <v>71959.97020113975</v>
      </c>
      <c r="AG69" s="10">
        <v>71629.29457986377</v>
      </c>
      <c r="AH69" s="10">
        <v>72273.16868446887</v>
      </c>
      <c r="AI69" s="46">
        <v>80282.24412905284</v>
      </c>
      <c r="AJ69" s="46">
        <v>80282.24412905284</v>
      </c>
      <c r="AK69" s="10"/>
      <c r="AL69" s="46">
        <v>59654.05864338889</v>
      </c>
      <c r="AM69" s="46">
        <v>68748.42</v>
      </c>
      <c r="AN69" s="46">
        <v>64778.806666666664</v>
      </c>
      <c r="AO69" s="46" t="s">
        <v>54</v>
      </c>
      <c r="AP69" s="46">
        <v>-11229.434270973077</v>
      </c>
      <c r="AQ69" s="46">
        <v>-6772.734579863762</v>
      </c>
      <c r="AR69" s="46">
        <v>-7408.91892905283</v>
      </c>
      <c r="AS69" s="10">
        <v>-32.66159231509664</v>
      </c>
      <c r="AT69" s="10">
        <v>0</v>
      </c>
      <c r="AU69" s="10"/>
      <c r="AV69" s="10">
        <v>60730.53593016667</v>
      </c>
      <c r="AW69" s="10">
        <v>60731</v>
      </c>
      <c r="AX69" s="46">
        <v>68748.42</v>
      </c>
      <c r="AY69" s="102">
        <v>68840</v>
      </c>
      <c r="AZ69" s="46">
        <v>72873.3252</v>
      </c>
      <c r="BA69" s="46">
        <v>80249.58253673774</v>
      </c>
      <c r="BB69" s="46">
        <v>80282.24412905284</v>
      </c>
      <c r="BC69" s="38"/>
      <c r="BD69" s="52">
        <v>3334</v>
      </c>
      <c r="BE69" s="53">
        <v>11.848888888888888</v>
      </c>
      <c r="BF69" s="53">
        <v>39504.195555555554</v>
      </c>
      <c r="BG69" s="54">
        <v>0.004648379308675277</v>
      </c>
      <c r="BH69" s="38"/>
      <c r="BI69" s="38"/>
      <c r="BJ69" s="38"/>
      <c r="BK69" s="38"/>
      <c r="BL69" s="38"/>
      <c r="BM69" s="55">
        <v>130</v>
      </c>
      <c r="BN69" s="55">
        <v>3.333333333333343</v>
      </c>
      <c r="BO69" s="46">
        <v>55881</v>
      </c>
      <c r="BP69" s="46">
        <v>8897.806666666664</v>
      </c>
      <c r="BQ69" s="54">
        <v>0.13202393074635468</v>
      </c>
      <c r="BR69" s="54">
        <v>0.04395604395604392</v>
      </c>
      <c r="BS69" s="56">
        <v>0.06000000000000012</v>
      </c>
      <c r="BU69" s="103">
        <v>65352</v>
      </c>
      <c r="BV69" s="100">
        <v>974</v>
      </c>
      <c r="BW69" s="101">
        <f t="shared" si="0"/>
        <v>0.05392238277141117</v>
      </c>
      <c r="BX69" s="10">
        <f t="shared" si="4"/>
        <v>71102.23900622512</v>
      </c>
      <c r="BY69" s="101"/>
      <c r="BZ69" s="148">
        <f t="shared" si="2"/>
        <v>67752.23900622512</v>
      </c>
      <c r="CA69" s="106">
        <f t="shared" si="3"/>
        <v>0.0367</v>
      </c>
      <c r="CC69" s="147">
        <f>2750+600</f>
        <v>3350</v>
      </c>
      <c r="CD69" s="149">
        <f t="shared" si="1"/>
        <v>0.134</v>
      </c>
    </row>
    <row r="70" spans="1:82" ht="15">
      <c r="A70" s="2" t="s">
        <v>289</v>
      </c>
      <c r="B70" s="15" t="s">
        <v>167</v>
      </c>
      <c r="C70" s="42">
        <f>'2019 Summary'!K13</f>
        <v>1</v>
      </c>
      <c r="D70" s="42">
        <f>'2019 Summary'!L13</f>
        <v>1</v>
      </c>
      <c r="E70" s="42">
        <f>'2019 Summary'!M13</f>
        <v>0</v>
      </c>
      <c r="F70" s="42">
        <f>'2019 Summary'!N13</f>
        <v>0</v>
      </c>
      <c r="G70" s="42">
        <f>'2019 Summary'!O13</f>
        <v>0</v>
      </c>
      <c r="H70" s="18"/>
      <c r="I70" s="18"/>
      <c r="J70" s="18"/>
      <c r="L70" s="45">
        <v>78.66666666666667</v>
      </c>
      <c r="M70" s="3" t="s">
        <v>178</v>
      </c>
      <c r="O70" s="47">
        <v>1</v>
      </c>
      <c r="P70" s="48">
        <v>0.009038594799795128</v>
      </c>
      <c r="Q70" s="46">
        <v>1130.2340486929907</v>
      </c>
      <c r="R70" s="46">
        <v>5286.086589738184</v>
      </c>
      <c r="T70" s="46">
        <v>79116.60814883721</v>
      </c>
      <c r="U70" s="46">
        <v>8294.515180142038</v>
      </c>
      <c r="V70" s="46">
        <v>24436.070533927545</v>
      </c>
      <c r="W70" s="46">
        <v>-5383.240016492511</v>
      </c>
      <c r="X70" s="46">
        <v>8922.689669653113</v>
      </c>
      <c r="Y70" s="46">
        <v>-50108</v>
      </c>
      <c r="Z70" s="46">
        <v>8951.18702953098</v>
      </c>
      <c r="AB70" s="46">
        <v>40323.075592014786</v>
      </c>
      <c r="AC70" s="46">
        <v>27172.188795234102</v>
      </c>
      <c r="AD70" s="49">
        <v>67495.26438724888</v>
      </c>
      <c r="AE70" s="10"/>
      <c r="AF70" s="10">
        <v>59541.772928907594</v>
      </c>
      <c r="AG70" s="10">
        <v>58808.63317665069</v>
      </c>
      <c r="AH70" s="10">
        <v>59533.85183338737</v>
      </c>
      <c r="AI70" s="46">
        <v>67495.26438724888</v>
      </c>
      <c r="AJ70" s="46">
        <v>67495.26438724888</v>
      </c>
      <c r="AK70" s="10"/>
      <c r="AL70" s="46">
        <v>63261.96555555556</v>
      </c>
      <c r="AM70" s="46">
        <v>63602.81999999999</v>
      </c>
      <c r="AN70" s="46">
        <v>62502.60666666667</v>
      </c>
      <c r="AO70" s="46" t="s">
        <v>62</v>
      </c>
      <c r="AP70" s="46">
        <v>0</v>
      </c>
      <c r="AQ70" s="46">
        <v>0</v>
      </c>
      <c r="AR70" s="46">
        <v>-76.27518724888796</v>
      </c>
      <c r="AS70" s="10">
        <v>0</v>
      </c>
      <c r="AT70" s="10">
        <v>0</v>
      </c>
      <c r="AU70" s="10"/>
      <c r="AV70" s="10">
        <v>62453.176666666666</v>
      </c>
      <c r="AW70" s="10">
        <v>62453</v>
      </c>
      <c r="AX70" s="46">
        <v>63602.81999999999</v>
      </c>
      <c r="AY70" s="102">
        <v>59498</v>
      </c>
      <c r="AZ70" s="46">
        <v>67418.9892</v>
      </c>
      <c r="BA70" s="46">
        <v>67495.26438724888</v>
      </c>
      <c r="BB70" s="46">
        <v>67495.26438724888</v>
      </c>
      <c r="BD70" s="52">
        <v>9344</v>
      </c>
      <c r="BE70" s="53">
        <v>10.841274469847072</v>
      </c>
      <c r="BF70" s="53">
        <v>101300.86864625104</v>
      </c>
      <c r="BG70" s="54">
        <v>0.011919869652929661</v>
      </c>
      <c r="BM70" s="55">
        <v>89</v>
      </c>
      <c r="BN70" s="55">
        <v>10.333333333333329</v>
      </c>
      <c r="BO70" s="46">
        <v>60051</v>
      </c>
      <c r="BP70" s="46">
        <v>2451.6066666666666</v>
      </c>
      <c r="BQ70" s="54">
        <v>0.01840808417911797</v>
      </c>
      <c r="BR70" s="54">
        <v>-0.09055876685934484</v>
      </c>
      <c r="BS70" s="56">
        <v>0.06000000000000007</v>
      </c>
      <c r="BU70" s="103">
        <v>59133</v>
      </c>
      <c r="BV70" s="100">
        <v>1479</v>
      </c>
      <c r="BW70" s="101">
        <f t="shared" si="0"/>
        <v>0.0818800863643913</v>
      </c>
      <c r="BX70" s="10">
        <f t="shared" si="4"/>
        <v>65780.46315987938</v>
      </c>
      <c r="BY70" s="101"/>
      <c r="BZ70" s="148">
        <f t="shared" si="2"/>
        <v>61830.46315987938</v>
      </c>
      <c r="CA70" s="106">
        <f t="shared" si="3"/>
        <v>0.0456</v>
      </c>
      <c r="CC70" s="147">
        <f>3950</f>
        <v>3950</v>
      </c>
      <c r="CD70" s="149">
        <f t="shared" si="1"/>
        <v>0.158</v>
      </c>
    </row>
    <row r="71" spans="1:82" ht="15">
      <c r="A71" s="2" t="s">
        <v>291</v>
      </c>
      <c r="B71" s="15" t="s">
        <v>167</v>
      </c>
      <c r="C71" s="42">
        <f>'2019 Summary'!K14</f>
        <v>1</v>
      </c>
      <c r="D71" s="42">
        <f>'2019 Summary'!L14</f>
        <v>0</v>
      </c>
      <c r="E71" s="42">
        <f>'2019 Summary'!M14</f>
        <v>0</v>
      </c>
      <c r="F71" s="42">
        <f>'2019 Summary'!N14</f>
        <v>0</v>
      </c>
      <c r="G71" s="42">
        <f>'2019 Summary'!O14</f>
        <v>1</v>
      </c>
      <c r="H71" s="18"/>
      <c r="I71" s="18"/>
      <c r="J71" s="18"/>
      <c r="L71" s="45">
        <v>91.53333333333333</v>
      </c>
      <c r="M71" s="3" t="s">
        <v>179</v>
      </c>
      <c r="O71" s="47">
        <v>1.05</v>
      </c>
      <c r="P71" s="48">
        <v>0.009490524539784885</v>
      </c>
      <c r="Q71" s="46">
        <v>1186.7457511276402</v>
      </c>
      <c r="R71" s="46">
        <v>5550.390919225093</v>
      </c>
      <c r="T71" s="46">
        <v>39558.30407441861</v>
      </c>
      <c r="U71" s="46">
        <v>4147.257590071019</v>
      </c>
      <c r="V71" s="46">
        <v>12218.035266963772</v>
      </c>
      <c r="W71" s="46">
        <v>-2691.6200082462556</v>
      </c>
      <c r="X71" s="46">
        <v>8922.689669653113</v>
      </c>
      <c r="Y71" s="46">
        <v>0</v>
      </c>
      <c r="Z71" s="46">
        <v>8951.18702953098</v>
      </c>
      <c r="AB71" s="46">
        <v>38921.495146371984</v>
      </c>
      <c r="AC71" s="46">
        <v>31616.453572759678</v>
      </c>
      <c r="AD71" s="49">
        <v>70537.94871913166</v>
      </c>
      <c r="AE71" s="10"/>
      <c r="AF71" s="10">
        <v>61783.32699735192</v>
      </c>
      <c r="AG71" s="10">
        <v>62198.17909368532</v>
      </c>
      <c r="AH71" s="10">
        <v>64472.34131193714</v>
      </c>
      <c r="AI71" s="46">
        <v>70537.94871913166</v>
      </c>
      <c r="AJ71" s="46">
        <v>70537.94871913166</v>
      </c>
      <c r="AK71" s="10"/>
      <c r="AL71" s="46">
        <v>60303.497470277776</v>
      </c>
      <c r="AM71" s="46">
        <v>64431.06446772511</v>
      </c>
      <c r="AN71" s="46">
        <v>62643.354822575035</v>
      </c>
      <c r="AO71" s="46" t="s">
        <v>62</v>
      </c>
      <c r="AP71" s="46">
        <v>-453.7745865185934</v>
      </c>
      <c r="AQ71" s="46">
        <v>0</v>
      </c>
      <c r="AR71" s="46">
        <v>-2241.0203833430423</v>
      </c>
      <c r="AS71" s="10">
        <v>0</v>
      </c>
      <c r="AT71" s="10">
        <v>0</v>
      </c>
      <c r="AU71" s="10"/>
      <c r="AV71" s="10">
        <v>61329.55241083333</v>
      </c>
      <c r="AW71" s="10">
        <v>61330</v>
      </c>
      <c r="AX71" s="46">
        <v>64431.06446772511</v>
      </c>
      <c r="AY71" s="46">
        <v>62785</v>
      </c>
      <c r="AZ71" s="46">
        <v>68296.92833578862</v>
      </c>
      <c r="BA71" s="46">
        <v>70537.94871913166</v>
      </c>
      <c r="BB71" s="46">
        <v>70537.94871913166</v>
      </c>
      <c r="BD71" s="52">
        <v>4036</v>
      </c>
      <c r="BE71" s="53">
        <v>15.719999999999999</v>
      </c>
      <c r="BF71" s="53">
        <v>63445.92</v>
      </c>
      <c r="BG71" s="54">
        <v>0.007465553913966276</v>
      </c>
      <c r="BM71" s="55">
        <v>94</v>
      </c>
      <c r="BN71" s="55">
        <v>2.4666666666666686</v>
      </c>
      <c r="BO71" s="46">
        <v>57191</v>
      </c>
      <c r="BP71" s="46">
        <v>5452.354822575035</v>
      </c>
      <c r="BQ71" s="54">
        <v>0.05057124885105031</v>
      </c>
      <c r="BR71" s="54">
        <v>-0.02624113475177292</v>
      </c>
      <c r="BS71" s="56">
        <v>0.05999999999999997</v>
      </c>
      <c r="BU71" s="103">
        <v>62785</v>
      </c>
      <c r="BV71" s="100">
        <v>1300</v>
      </c>
      <c r="BW71" s="101">
        <f t="shared" si="0"/>
        <v>0.07197032608093894</v>
      </c>
      <c r="BX71" s="10">
        <f t="shared" si="4"/>
        <v>66637.06518942093</v>
      </c>
      <c r="BY71" s="101"/>
      <c r="BZ71" s="148">
        <f t="shared" si="2"/>
        <v>66087.06518942093</v>
      </c>
      <c r="CA71" s="106">
        <f t="shared" si="3"/>
        <v>0.0526</v>
      </c>
      <c r="CC71" s="147">
        <f>950-400</f>
        <v>550</v>
      </c>
      <c r="CD71" s="149">
        <f t="shared" si="1"/>
        <v>0.022</v>
      </c>
    </row>
    <row r="72" spans="1:82" ht="15.75" thickBot="1">
      <c r="A72" s="2" t="s">
        <v>293</v>
      </c>
      <c r="B72" s="15" t="s">
        <v>167</v>
      </c>
      <c r="C72" s="42">
        <f>'2019 Summary'!K15</f>
        <v>0.5</v>
      </c>
      <c r="D72" s="42">
        <f>'2019 Summary'!L15</f>
        <v>0</v>
      </c>
      <c r="E72" s="42">
        <f>'2019 Summary'!M15</f>
        <v>0</v>
      </c>
      <c r="F72" s="42">
        <f>'2019 Summary'!N15</f>
        <v>0</v>
      </c>
      <c r="G72" s="42">
        <f>'2019 Summary'!O15</f>
        <v>0</v>
      </c>
      <c r="H72" s="18"/>
      <c r="I72" s="18"/>
      <c r="J72" s="18"/>
      <c r="L72" s="45">
        <v>63.66666666666666</v>
      </c>
      <c r="M72" s="3" t="s">
        <v>180</v>
      </c>
      <c r="O72" s="47">
        <v>0.5</v>
      </c>
      <c r="P72" s="48">
        <v>0.004519297399897564</v>
      </c>
      <c r="Q72" s="46">
        <v>565.1170243464953</v>
      </c>
      <c r="R72" s="46">
        <v>2643.043294869092</v>
      </c>
      <c r="T72" s="46">
        <v>19779.152037209304</v>
      </c>
      <c r="U72" s="46">
        <v>2073.6287950355095</v>
      </c>
      <c r="V72" s="46">
        <v>6109.017633481886</v>
      </c>
      <c r="W72" s="46">
        <v>-1345.8100041231278</v>
      </c>
      <c r="X72" s="46">
        <v>2230.6724174132783</v>
      </c>
      <c r="Y72" s="46">
        <v>0</v>
      </c>
      <c r="Z72" s="46">
        <v>4475.59351476549</v>
      </c>
      <c r="AB72" s="46">
        <v>18265.207356498966</v>
      </c>
      <c r="AC72" s="46">
        <v>21991.051101227593</v>
      </c>
      <c r="AD72" s="50">
        <v>40256.25845772656</v>
      </c>
      <c r="AE72" s="10"/>
      <c r="AF72" s="10">
        <v>34029.83919449803</v>
      </c>
      <c r="AG72" s="10">
        <v>36638.72056050375</v>
      </c>
      <c r="AH72" s="10">
        <v>36467.42359654634</v>
      </c>
      <c r="AI72" s="46">
        <v>40256.25845772656</v>
      </c>
      <c r="AJ72" s="46">
        <v>40256.25845772656</v>
      </c>
      <c r="AK72" s="10"/>
      <c r="AL72" s="46">
        <v>27297.704522222222</v>
      </c>
      <c r="AM72" s="46">
        <v>29545.38</v>
      </c>
      <c r="AN72" s="46">
        <v>27933.460000000003</v>
      </c>
      <c r="AO72" s="46" t="s">
        <v>54</v>
      </c>
      <c r="AP72" s="46">
        <v>-7647.545627831365</v>
      </c>
      <c r="AQ72" s="46">
        <v>-8765.880560503749</v>
      </c>
      <c r="AR72" s="46">
        <v>-8938.155657726555</v>
      </c>
      <c r="AS72" s="10">
        <v>-5651.599632479149</v>
      </c>
      <c r="AT72" s="10">
        <v>-3748.343397090546</v>
      </c>
      <c r="AU72" s="10"/>
      <c r="AV72" s="10">
        <v>26382.293566666667</v>
      </c>
      <c r="AW72" s="10">
        <v>26382</v>
      </c>
      <c r="AX72" s="46">
        <v>29545.38</v>
      </c>
      <c r="AY72" s="46">
        <v>26712</v>
      </c>
      <c r="AZ72" s="46">
        <v>31318.102800000004</v>
      </c>
      <c r="BA72" s="46">
        <v>34604.65882524741</v>
      </c>
      <c r="BB72" s="46">
        <v>36507.91506063601</v>
      </c>
      <c r="BD72" s="52">
        <v>2663</v>
      </c>
      <c r="BE72" s="53">
        <v>13.407303670045037</v>
      </c>
      <c r="BF72" s="53">
        <v>35703.649673329935</v>
      </c>
      <c r="BG72" s="54">
        <v>0.004201176711782398</v>
      </c>
      <c r="BM72" s="55">
        <v>63</v>
      </c>
      <c r="BN72" s="55">
        <v>-0.6666666666666572</v>
      </c>
      <c r="BO72" s="46">
        <v>24441</v>
      </c>
      <c r="BP72" s="46">
        <v>3492.4600000000028</v>
      </c>
      <c r="BQ72" s="54">
        <v>0.11989429294084614</v>
      </c>
      <c r="BR72" s="54">
        <v>0.10724637681159403</v>
      </c>
      <c r="BS72" s="56">
        <v>0.06000000000000011</v>
      </c>
      <c r="BU72" s="103">
        <v>26712</v>
      </c>
      <c r="BV72" s="100">
        <v>1862</v>
      </c>
      <c r="BW72" s="101">
        <f t="shared" si="0"/>
        <v>0.10308365166362177</v>
      </c>
      <c r="BX72" s="10">
        <f t="shared" si="4"/>
        <v>30556.959276878562</v>
      </c>
      <c r="BY72" s="101"/>
      <c r="BZ72" s="148">
        <f t="shared" si="2"/>
        <v>27931.959276878562</v>
      </c>
      <c r="CA72" s="106">
        <f t="shared" si="3"/>
        <v>0.0457</v>
      </c>
      <c r="CC72" s="147">
        <v>2625</v>
      </c>
      <c r="CD72" s="149">
        <f t="shared" si="1"/>
        <v>0.105</v>
      </c>
    </row>
    <row r="73" spans="1:79" ht="15" hidden="1">
      <c r="A73" s="2" t="s">
        <v>181</v>
      </c>
      <c r="B73" s="3" t="s">
        <v>182</v>
      </c>
      <c r="C73" s="19">
        <v>1</v>
      </c>
      <c r="D73" s="23"/>
      <c r="E73" s="19">
        <v>1</v>
      </c>
      <c r="F73" s="23"/>
      <c r="G73" s="19">
        <v>0</v>
      </c>
      <c r="H73" s="18"/>
      <c r="I73" s="18"/>
      <c r="J73" s="18"/>
      <c r="L73" s="4">
        <v>150.66666666666669</v>
      </c>
      <c r="M73" s="3" t="s">
        <v>183</v>
      </c>
      <c r="O73" s="5">
        <v>1.3333333333333333</v>
      </c>
      <c r="P73" s="6">
        <v>0.01205145973306017</v>
      </c>
      <c r="Q73" s="10">
        <v>1506.9787315906542</v>
      </c>
      <c r="R73" s="10">
        <v>7048.115452984245</v>
      </c>
      <c r="T73" s="10">
        <v>39558.30407441861</v>
      </c>
      <c r="U73" s="10">
        <v>8294.515180142038</v>
      </c>
      <c r="V73" s="10">
        <v>24436.070533927545</v>
      </c>
      <c r="W73" s="10">
        <v>-3479.286612538469</v>
      </c>
      <c r="X73" s="10">
        <v>8922.689669653113</v>
      </c>
      <c r="Y73" s="10">
        <v>0</v>
      </c>
      <c r="Z73" s="10">
        <v>8951.18702953098</v>
      </c>
      <c r="AB73" s="10">
        <v>47619.28702985436</v>
      </c>
      <c r="AC73" s="10">
        <v>52041.649726465315</v>
      </c>
      <c r="AD73" s="10">
        <v>99660.93675631967</v>
      </c>
      <c r="AE73" s="10"/>
      <c r="AF73" s="10">
        <v>88016.79002038046</v>
      </c>
      <c r="AG73" s="10">
        <v>91946.40394710843</v>
      </c>
      <c r="AH73" s="10">
        <v>91942.98898231384</v>
      </c>
      <c r="AI73" s="10">
        <v>99660.93675631967</v>
      </c>
      <c r="AJ73" s="10">
        <v>99660.93675631967</v>
      </c>
      <c r="AK73" s="10"/>
      <c r="AL73" s="10">
        <v>82638.58382577777</v>
      </c>
      <c r="AM73" s="10">
        <v>91468.46</v>
      </c>
      <c r="AN73" s="10">
        <v>87004.48666666668</v>
      </c>
      <c r="AO73" s="10" t="s">
        <v>54</v>
      </c>
      <c r="AP73" s="10">
        <v>-4763.018543047132</v>
      </c>
      <c r="AQ73" s="10">
        <v>-5655.0039471084165</v>
      </c>
      <c r="AR73" s="10">
        <v>-2704.3691563196626</v>
      </c>
      <c r="AS73" s="10">
        <v>0</v>
      </c>
      <c r="AT73" s="10">
        <v>0</v>
      </c>
      <c r="AU73" s="10"/>
      <c r="AV73" s="10">
        <v>83253.77147733333</v>
      </c>
      <c r="AW73" s="10">
        <v>83254</v>
      </c>
      <c r="AX73" s="10">
        <v>91468.46</v>
      </c>
      <c r="AY73" s="10">
        <v>86904</v>
      </c>
      <c r="AZ73" s="10">
        <v>96956.56760000001</v>
      </c>
      <c r="BA73" s="10">
        <v>99660.93675631967</v>
      </c>
      <c r="BB73" s="10">
        <v>99660.93675631967</v>
      </c>
      <c r="BD73" s="9">
        <v>8667</v>
      </c>
      <c r="BE73" s="13">
        <v>5.457468891513989</v>
      </c>
      <c r="BF73" s="13">
        <v>47299.88288275174</v>
      </c>
      <c r="BG73" s="14">
        <v>0.005565682171296022</v>
      </c>
      <c r="BM73" s="4">
        <v>163</v>
      </c>
      <c r="BN73" s="4">
        <v>12.333333333333314</v>
      </c>
      <c r="BO73" s="10">
        <v>80864</v>
      </c>
      <c r="BP73" s="10">
        <v>6140.4866666666785</v>
      </c>
      <c r="BQ73" s="14">
        <v>0.09867046713797475</v>
      </c>
      <c r="BR73" s="14">
        <v>0.0331428571428572</v>
      </c>
      <c r="BS73" s="7">
        <v>0.060000000000000026</v>
      </c>
      <c r="BU73" s="10">
        <v>86904</v>
      </c>
      <c r="BZ73" s="105">
        <f aca="true" t="shared" si="5" ref="BZ73:BZ101">AZ73-CC73</f>
        <v>96956.56760000001</v>
      </c>
      <c r="CA73" s="106">
        <f t="shared" si="3"/>
        <v>0.1157</v>
      </c>
    </row>
    <row r="74" spans="1:79" ht="15" hidden="1">
      <c r="A74" s="2" t="s">
        <v>184</v>
      </c>
      <c r="B74" s="3" t="s">
        <v>182</v>
      </c>
      <c r="C74" s="19">
        <v>3</v>
      </c>
      <c r="D74" s="23"/>
      <c r="E74" s="19"/>
      <c r="F74" s="23"/>
      <c r="G74" s="19"/>
      <c r="H74" s="18"/>
      <c r="I74" s="18"/>
      <c r="J74" s="18"/>
      <c r="L74" s="4">
        <v>246.66666666666666</v>
      </c>
      <c r="M74" s="3" t="s">
        <v>185</v>
      </c>
      <c r="O74" s="5">
        <v>3</v>
      </c>
      <c r="P74" s="6">
        <v>0.027115784399385386</v>
      </c>
      <c r="Q74" s="10">
        <v>3390.7021460789724</v>
      </c>
      <c r="R74" s="10">
        <v>15858.259769214552</v>
      </c>
      <c r="T74" s="10">
        <v>118674.91222325581</v>
      </c>
      <c r="U74" s="10">
        <v>12441.772770213056</v>
      </c>
      <c r="V74" s="10">
        <v>36654.10580089132</v>
      </c>
      <c r="W74" s="10">
        <v>-8074.860024738765</v>
      </c>
      <c r="X74" s="10">
        <v>13384.034504479667</v>
      </c>
      <c r="Y74" s="10">
        <v>0</v>
      </c>
      <c r="Z74" s="10">
        <v>26853.56108859294</v>
      </c>
      <c r="AB74" s="10">
        <v>109591.24413899379</v>
      </c>
      <c r="AC74" s="10">
        <v>85200.93096810693</v>
      </c>
      <c r="AD74" s="10">
        <v>194792.17510710072</v>
      </c>
      <c r="AE74" s="10"/>
      <c r="AF74" s="10">
        <v>56054.911044660854</v>
      </c>
      <c r="AG74" s="10">
        <v>178925.3928669095</v>
      </c>
      <c r="AH74" s="10">
        <v>182972.105419958</v>
      </c>
      <c r="AI74" s="10">
        <v>194792.17510710072</v>
      </c>
      <c r="AJ74" s="10">
        <v>194792.17510710072</v>
      </c>
      <c r="AK74" s="10"/>
      <c r="AL74" s="10">
        <v>80123.18164611112</v>
      </c>
      <c r="AM74" s="10">
        <v>152275.36000000002</v>
      </c>
      <c r="AN74" s="10">
        <v>153391.12</v>
      </c>
      <c r="AO74" s="10" t="s">
        <v>62</v>
      </c>
      <c r="AP74" s="10">
        <v>-22507.306106327524</v>
      </c>
      <c r="AQ74" s="10">
        <v>-42193.88535278979</v>
      </c>
      <c r="AR74" s="10">
        <v>-33380.293507100694</v>
      </c>
      <c r="AS74" s="10">
        <v>-4767.474464123312</v>
      </c>
      <c r="AT74" s="10">
        <v>0</v>
      </c>
      <c r="AU74" s="10"/>
      <c r="AV74" s="10">
        <v>33547.60493833333</v>
      </c>
      <c r="AW74" s="10">
        <v>164242</v>
      </c>
      <c r="AX74" s="10">
        <v>152275.36000000002</v>
      </c>
      <c r="AY74" s="10">
        <v>132709.5</v>
      </c>
      <c r="AZ74" s="10">
        <v>161411.88160000002</v>
      </c>
      <c r="BA74" s="10">
        <v>190024.7006429774</v>
      </c>
      <c r="BB74" s="10">
        <v>194792.17510710072</v>
      </c>
      <c r="BD74" s="9">
        <v>3362</v>
      </c>
      <c r="BE74" s="13">
        <v>11.311666666666667</v>
      </c>
      <c r="BF74" s="13">
        <v>38029.823333333334</v>
      </c>
      <c r="BG74" s="14">
        <v>0.00447489289198758</v>
      </c>
      <c r="BM74" s="4">
        <v>83</v>
      </c>
      <c r="BN74" s="4">
        <v>-163.66666666666666</v>
      </c>
      <c r="BO74" s="10">
        <v>29290</v>
      </c>
      <c r="BP74" s="10">
        <v>124101.12</v>
      </c>
      <c r="BQ74" s="14">
        <v>3.53908290263672</v>
      </c>
      <c r="BR74" s="14">
        <v>2.2962138084632513</v>
      </c>
      <c r="BS74" s="7">
        <v>0.06000000000000004</v>
      </c>
      <c r="BU74" s="10">
        <v>132709.5</v>
      </c>
      <c r="BZ74" s="105">
        <f t="shared" si="5"/>
        <v>161411.88160000002</v>
      </c>
      <c r="CA74" s="106">
        <f t="shared" si="3"/>
        <v>0.2163</v>
      </c>
    </row>
    <row r="75" spans="1:79" ht="15" hidden="1">
      <c r="A75" s="2" t="s">
        <v>186</v>
      </c>
      <c r="B75" s="3" t="s">
        <v>182</v>
      </c>
      <c r="C75" s="19">
        <v>1</v>
      </c>
      <c r="D75" s="23"/>
      <c r="E75" s="19">
        <v>1</v>
      </c>
      <c r="F75" s="23">
        <v>0</v>
      </c>
      <c r="G75" s="19">
        <v>1</v>
      </c>
      <c r="H75" s="18"/>
      <c r="I75" s="18"/>
      <c r="J75" s="18"/>
      <c r="L75" s="4">
        <v>194.66666666666669</v>
      </c>
      <c r="M75" s="3" t="s">
        <v>187</v>
      </c>
      <c r="O75" s="5">
        <v>1.3833333333333333</v>
      </c>
      <c r="P75" s="6">
        <v>0.012503389473049928</v>
      </c>
      <c r="Q75" s="10">
        <v>1563.4904340253038</v>
      </c>
      <c r="R75" s="10">
        <v>7312.419782471155</v>
      </c>
      <c r="T75" s="10">
        <v>39558.30407441861</v>
      </c>
      <c r="U75" s="10">
        <v>8294.515180142038</v>
      </c>
      <c r="V75" s="10">
        <v>24436.070533927545</v>
      </c>
      <c r="W75" s="10">
        <v>-3479.286612538469</v>
      </c>
      <c r="X75" s="10">
        <v>13384.034504479667</v>
      </c>
      <c r="Y75" s="10">
        <v>0</v>
      </c>
      <c r="Z75" s="10">
        <v>8951.18702953098</v>
      </c>
      <c r="AB75" s="10">
        <v>50010.36746322841</v>
      </c>
      <c r="AC75" s="10">
        <v>67239.65362888439</v>
      </c>
      <c r="AD75" s="10">
        <v>117250.0210921128</v>
      </c>
      <c r="AE75" s="10"/>
      <c r="AF75" s="10">
        <v>110482.1430174559</v>
      </c>
      <c r="AG75" s="10">
        <v>114610.8303774296</v>
      </c>
      <c r="AH75" s="10">
        <v>123780.76192290758</v>
      </c>
      <c r="AI75" s="10">
        <v>117250.0210921128</v>
      </c>
      <c r="AJ75" s="10">
        <v>117250.0210921128</v>
      </c>
      <c r="AK75" s="10"/>
      <c r="AL75" s="10">
        <v>118796.598306</v>
      </c>
      <c r="AM75" s="10">
        <v>117934.54000000001</v>
      </c>
      <c r="AN75" s="10">
        <v>112748.84666666668</v>
      </c>
      <c r="AO75" s="10" t="s">
        <v>54</v>
      </c>
      <c r="AP75" s="10">
        <v>-1429.3380994558975</v>
      </c>
      <c r="AQ75" s="10">
        <v>-3351.8303774295928</v>
      </c>
      <c r="AR75" s="10">
        <v>0</v>
      </c>
      <c r="AS75" s="10">
        <v>0</v>
      </c>
      <c r="AT75" s="10">
        <v>0</v>
      </c>
      <c r="AU75" s="10"/>
      <c r="AV75" s="10">
        <v>109052.80491800001</v>
      </c>
      <c r="AW75" s="10">
        <v>109053</v>
      </c>
      <c r="AX75" s="10">
        <v>117934.54000000001</v>
      </c>
      <c r="AY75" s="10">
        <v>81962</v>
      </c>
      <c r="AZ75" s="10">
        <v>117934.54000000001</v>
      </c>
      <c r="BA75" s="10">
        <v>117250.0210921128</v>
      </c>
      <c r="BB75" s="10">
        <v>117250.0210921128</v>
      </c>
      <c r="BD75" s="9">
        <v>4232</v>
      </c>
      <c r="BE75" s="13">
        <v>9.423900451218111</v>
      </c>
      <c r="BF75" s="13">
        <v>39881.94670955505</v>
      </c>
      <c r="BG75" s="14">
        <v>0.00469282852788821</v>
      </c>
      <c r="BM75" s="4">
        <v>218</v>
      </c>
      <c r="BN75" s="4">
        <v>23.333333333333314</v>
      </c>
      <c r="BO75" s="10">
        <v>102300</v>
      </c>
      <c r="BP75" s="10">
        <v>10448.846666666679</v>
      </c>
      <c r="BQ75" s="14">
        <v>0.08144435247381702</v>
      </c>
      <c r="BR75" s="14">
        <v>-0.119155354449472</v>
      </c>
      <c r="BS75" s="7">
        <v>0</v>
      </c>
      <c r="BU75" s="10">
        <v>81962</v>
      </c>
      <c r="BZ75" s="105">
        <f t="shared" si="5"/>
        <v>117934.54000000001</v>
      </c>
      <c r="CA75" s="106">
        <f t="shared" si="3"/>
        <v>0.4389</v>
      </c>
    </row>
    <row r="76" spans="1:79" ht="30" hidden="1">
      <c r="A76" s="2" t="s">
        <v>188</v>
      </c>
      <c r="B76" s="3" t="s">
        <v>182</v>
      </c>
      <c r="C76" s="19">
        <v>1</v>
      </c>
      <c r="D76" s="23"/>
      <c r="E76" s="19"/>
      <c r="F76" s="23"/>
      <c r="G76" s="19">
        <v>2</v>
      </c>
      <c r="H76" s="18"/>
      <c r="I76" s="18"/>
      <c r="J76" s="18"/>
      <c r="L76" s="4">
        <v>75.2</v>
      </c>
      <c r="M76" s="3" t="s">
        <v>189</v>
      </c>
      <c r="O76" s="5">
        <v>1.1</v>
      </c>
      <c r="P76" s="6">
        <v>0.009942454279774643</v>
      </c>
      <c r="Q76" s="10">
        <v>1243.25745356229</v>
      </c>
      <c r="R76" s="10">
        <v>5814.695248712003</v>
      </c>
      <c r="T76" s="10">
        <v>39558.30407441861</v>
      </c>
      <c r="U76" s="10">
        <v>4147.257590071019</v>
      </c>
      <c r="V76" s="10">
        <v>12218.035266963772</v>
      </c>
      <c r="W76" s="10">
        <v>-2691.6200082462556</v>
      </c>
      <c r="X76" s="10">
        <v>13384.034504479667</v>
      </c>
      <c r="Y76" s="10">
        <v>0</v>
      </c>
      <c r="Z76" s="10">
        <v>8951.18702953098</v>
      </c>
      <c r="AB76" s="10">
        <v>41312.575579746044</v>
      </c>
      <c r="AC76" s="10">
        <v>25974.770305952596</v>
      </c>
      <c r="AD76" s="10">
        <v>67287.34588569864</v>
      </c>
      <c r="AE76" s="10"/>
      <c r="AF76" s="10">
        <v>58146.57138508544</v>
      </c>
      <c r="AG76" s="10">
        <v>58815.99750183651</v>
      </c>
      <c r="AH76" s="10">
        <v>59844.346220286374</v>
      </c>
      <c r="AI76" s="10">
        <v>67287.34588569864</v>
      </c>
      <c r="AJ76" s="10">
        <v>67287.34588569864</v>
      </c>
      <c r="AK76" s="10"/>
      <c r="AL76" s="10">
        <v>58071.25102044444</v>
      </c>
      <c r="AM76" s="10">
        <v>59806.92980035316</v>
      </c>
      <c r="AN76" s="10">
        <v>58467.643266784384</v>
      </c>
      <c r="AO76" s="10" t="s">
        <v>62</v>
      </c>
      <c r="AP76" s="10">
        <v>-1329.1283237521056</v>
      </c>
      <c r="AQ76" s="10">
        <v>0</v>
      </c>
      <c r="AR76" s="10">
        <v>-3892.000297324288</v>
      </c>
      <c r="AS76" s="10">
        <v>0</v>
      </c>
      <c r="AT76" s="10">
        <v>0</v>
      </c>
      <c r="AU76" s="10"/>
      <c r="AV76" s="10">
        <v>56817.44306133333</v>
      </c>
      <c r="AW76" s="10">
        <v>56817</v>
      </c>
      <c r="AX76" s="10">
        <v>59806.92980035316</v>
      </c>
      <c r="AY76" s="10">
        <v>58494</v>
      </c>
      <c r="AZ76" s="10">
        <v>63395.34558837435</v>
      </c>
      <c r="BA76" s="10">
        <v>67287.34588569864</v>
      </c>
      <c r="BB76" s="10">
        <v>67287.34588569864</v>
      </c>
      <c r="BD76" s="9">
        <v>6831</v>
      </c>
      <c r="BE76" s="13">
        <v>11.484656517194287</v>
      </c>
      <c r="BF76" s="13">
        <v>78451.68866895417</v>
      </c>
      <c r="BG76" s="14">
        <v>0.009231252559656705</v>
      </c>
      <c r="BM76" s="4">
        <v>83</v>
      </c>
      <c r="BN76" s="4">
        <v>7.799999999999997</v>
      </c>
      <c r="BO76" s="10">
        <v>52211</v>
      </c>
      <c r="BP76" s="10">
        <v>6256.643266784384</v>
      </c>
      <c r="BQ76" s="14">
        <v>0.05261565072178158</v>
      </c>
      <c r="BR76" s="14">
        <v>-0.08105906313645628</v>
      </c>
      <c r="BS76" s="7">
        <v>0.06000000000000006</v>
      </c>
      <c r="BU76" s="10">
        <v>58494</v>
      </c>
      <c r="BZ76" s="105">
        <f t="shared" si="5"/>
        <v>63395.34558837435</v>
      </c>
      <c r="CA76" s="106">
        <f t="shared" si="3"/>
        <v>0.0838</v>
      </c>
    </row>
    <row r="77" spans="1:79" ht="30" hidden="1">
      <c r="A77" s="2" t="s">
        <v>190</v>
      </c>
      <c r="B77" s="3" t="s">
        <v>182</v>
      </c>
      <c r="C77" s="19">
        <v>1</v>
      </c>
      <c r="D77" s="23"/>
      <c r="E77" s="19"/>
      <c r="F77" s="23"/>
      <c r="G77" s="19">
        <v>1</v>
      </c>
      <c r="H77" s="18"/>
      <c r="I77" s="18"/>
      <c r="J77" s="18"/>
      <c r="L77" s="4">
        <v>173.33333333333331</v>
      </c>
      <c r="M77" s="3" t="s">
        <v>191</v>
      </c>
      <c r="O77" s="5">
        <v>1.05</v>
      </c>
      <c r="P77" s="6">
        <v>0.009490524539784885</v>
      </c>
      <c r="Q77" s="10">
        <v>1186.7457511276402</v>
      </c>
      <c r="R77" s="10">
        <v>5550.390919225093</v>
      </c>
      <c r="T77" s="10">
        <v>39558.30407441861</v>
      </c>
      <c r="U77" s="10">
        <v>4147.257590071019</v>
      </c>
      <c r="V77" s="10">
        <v>12218.035266963772</v>
      </c>
      <c r="W77" s="10">
        <v>-2691.6200082462556</v>
      </c>
      <c r="X77" s="10">
        <v>8922.689669653113</v>
      </c>
      <c r="Y77" s="10">
        <v>0</v>
      </c>
      <c r="Z77" s="10">
        <v>8951.18702953098</v>
      </c>
      <c r="AB77" s="10">
        <v>38921.495146371984</v>
      </c>
      <c r="AC77" s="10">
        <v>59870.92446407513</v>
      </c>
      <c r="AD77" s="10">
        <v>98792.4196104471</v>
      </c>
      <c r="AF77" s="10">
        <v>80777.03431742833</v>
      </c>
      <c r="AG77" s="10">
        <v>82504.6595018761</v>
      </c>
      <c r="AH77" s="10">
        <v>86562.22383060883</v>
      </c>
      <c r="AI77" s="10">
        <v>98792.4196104471</v>
      </c>
      <c r="AJ77" s="10">
        <v>98792.4196104471</v>
      </c>
      <c r="AL77" s="9">
        <v>124014.05462222222</v>
      </c>
      <c r="AM77" s="9">
        <v>110051.54999999999</v>
      </c>
      <c r="AN77" s="10">
        <v>109709.51666666666</v>
      </c>
      <c r="AO77" s="10" t="s">
        <v>54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/>
      <c r="AV77" s="10">
        <v>112746.87386666668</v>
      </c>
      <c r="AW77" s="10">
        <v>112747</v>
      </c>
      <c r="AX77" s="10">
        <v>110051.54999999999</v>
      </c>
      <c r="AY77" s="10">
        <v>107627</v>
      </c>
      <c r="AZ77" s="10">
        <v>110051.54999999999</v>
      </c>
      <c r="BA77" s="10">
        <v>109709.51666666666</v>
      </c>
      <c r="BB77" s="10">
        <v>109709.51666666666</v>
      </c>
      <c r="BD77" s="9">
        <v>3916</v>
      </c>
      <c r="BE77" s="13">
        <v>9.569518553565931</v>
      </c>
      <c r="BF77" s="13">
        <v>37474.23465576419</v>
      </c>
      <c r="BG77" s="14">
        <v>0.004409517888734705</v>
      </c>
      <c r="BM77" s="4">
        <v>178</v>
      </c>
      <c r="BN77" s="4">
        <v>4.666666666666686</v>
      </c>
      <c r="BO77" s="10">
        <v>112352</v>
      </c>
      <c r="BP77" s="10">
        <v>-2642.483333333337</v>
      </c>
      <c r="BQ77" s="14">
        <v>-0.02390597427875606</v>
      </c>
      <c r="BR77" s="14">
        <v>0.14917127071823205</v>
      </c>
      <c r="BS77" s="7">
        <v>0</v>
      </c>
      <c r="BU77" s="10">
        <v>107627</v>
      </c>
      <c r="BZ77" s="105">
        <f t="shared" si="5"/>
        <v>110051.54999999999</v>
      </c>
      <c r="CA77" s="106">
        <f t="shared" si="3"/>
        <v>0.0225</v>
      </c>
    </row>
    <row r="78" spans="1:79" ht="15" hidden="1">
      <c r="A78" s="2" t="s">
        <v>192</v>
      </c>
      <c r="B78" s="3" t="s">
        <v>182</v>
      </c>
      <c r="C78" s="19">
        <v>3</v>
      </c>
      <c r="D78" s="23"/>
      <c r="E78" s="19">
        <v>0</v>
      </c>
      <c r="F78" s="23"/>
      <c r="G78" s="19">
        <v>0</v>
      </c>
      <c r="H78" s="18"/>
      <c r="I78" s="18"/>
      <c r="J78" s="18"/>
      <c r="L78" s="4">
        <v>220.33333333333331</v>
      </c>
      <c r="M78" s="3" t="s">
        <v>193</v>
      </c>
      <c r="O78" s="5">
        <v>3</v>
      </c>
      <c r="P78" s="6">
        <v>0.027115784399385386</v>
      </c>
      <c r="Q78" s="10">
        <v>3390.7021460789724</v>
      </c>
      <c r="R78" s="10">
        <v>15858.259769214552</v>
      </c>
      <c r="T78" s="10">
        <v>118674.91222325581</v>
      </c>
      <c r="U78" s="10">
        <v>12441.772770213056</v>
      </c>
      <c r="V78" s="10">
        <v>36654.10580089132</v>
      </c>
      <c r="W78" s="10">
        <v>-8074.860024738765</v>
      </c>
      <c r="X78" s="10">
        <v>13384.034504479667</v>
      </c>
      <c r="Y78" s="10">
        <v>0</v>
      </c>
      <c r="Z78" s="10">
        <v>26853.56108859294</v>
      </c>
      <c r="AB78" s="10">
        <v>109591.24413899379</v>
      </c>
      <c r="AC78" s="10">
        <v>76105.1559052955</v>
      </c>
      <c r="AD78" s="10">
        <v>185696.4000442893</v>
      </c>
      <c r="AE78" s="10"/>
      <c r="AF78" s="10">
        <v>170488.28609360487</v>
      </c>
      <c r="AG78" s="10">
        <v>174454.0454284391</v>
      </c>
      <c r="AH78" s="10">
        <v>179788.5679968731</v>
      </c>
      <c r="AI78" s="10">
        <v>185696.4000442893</v>
      </c>
      <c r="AJ78" s="10">
        <v>185696.4000442893</v>
      </c>
      <c r="AK78" s="10"/>
      <c r="AL78" s="10">
        <v>157699.5918912222</v>
      </c>
      <c r="AM78" s="10">
        <v>154233.18000000002</v>
      </c>
      <c r="AN78" s="10">
        <v>145653.06000000003</v>
      </c>
      <c r="AO78" s="10" t="s">
        <v>62</v>
      </c>
      <c r="AP78" s="10">
        <v>-33265.3004199382</v>
      </c>
      <c r="AQ78" s="10">
        <v>-28951.545428439073</v>
      </c>
      <c r="AR78" s="10">
        <v>-22209.22924428928</v>
      </c>
      <c r="AS78" s="10">
        <v>-5257.798877327121</v>
      </c>
      <c r="AT78" s="10">
        <v>0</v>
      </c>
      <c r="AU78" s="10"/>
      <c r="AV78" s="10">
        <v>137222.98567366667</v>
      </c>
      <c r="AW78" s="10">
        <v>137223</v>
      </c>
      <c r="AX78" s="10">
        <v>154233.18000000002</v>
      </c>
      <c r="AY78" s="10">
        <v>151205.5</v>
      </c>
      <c r="AZ78" s="10">
        <v>163487.17080000002</v>
      </c>
      <c r="BA78" s="10">
        <v>180438.60116696218</v>
      </c>
      <c r="BB78" s="10">
        <v>185696.4000442893</v>
      </c>
      <c r="BD78" s="9">
        <v>23901</v>
      </c>
      <c r="BE78" s="13">
        <v>14.43410611018892</v>
      </c>
      <c r="BF78" s="13">
        <v>344989.57013962534</v>
      </c>
      <c r="BG78" s="14">
        <v>0.04059422947343853</v>
      </c>
      <c r="BM78" s="4">
        <v>232</v>
      </c>
      <c r="BN78" s="4">
        <v>11.666666666666686</v>
      </c>
      <c r="BO78" s="10">
        <v>126065</v>
      </c>
      <c r="BP78" s="10">
        <v>19588.060000000027</v>
      </c>
      <c r="BQ78" s="14">
        <v>0.12396024064645926</v>
      </c>
      <c r="BR78" s="14">
        <v>0.12224108658743618</v>
      </c>
      <c r="BS78" s="7">
        <v>0.05999999999999999</v>
      </c>
      <c r="BU78" s="10">
        <v>151205.5</v>
      </c>
      <c r="BZ78" s="105">
        <f t="shared" si="5"/>
        <v>163487.17080000002</v>
      </c>
      <c r="CA78" s="106">
        <f t="shared" si="3"/>
        <v>0.0812</v>
      </c>
    </row>
    <row r="79" spans="1:79" ht="15" hidden="1">
      <c r="A79" s="2" t="s">
        <v>194</v>
      </c>
      <c r="B79" s="3" t="s">
        <v>182</v>
      </c>
      <c r="C79" s="19">
        <v>1</v>
      </c>
      <c r="D79" s="23"/>
      <c r="E79" s="19"/>
      <c r="F79" s="23">
        <v>1</v>
      </c>
      <c r="G79" s="19"/>
      <c r="H79" s="18"/>
      <c r="I79" s="18"/>
      <c r="J79" s="18"/>
      <c r="L79" s="4">
        <v>114.33333333333333</v>
      </c>
      <c r="M79" s="3" t="s">
        <v>195</v>
      </c>
      <c r="O79" s="5">
        <v>1</v>
      </c>
      <c r="P79" s="6">
        <v>0.009038594799795128</v>
      </c>
      <c r="Q79" s="10">
        <v>1130.2340486929907</v>
      </c>
      <c r="R79" s="10">
        <v>5286.086589738184</v>
      </c>
      <c r="T79" s="10">
        <v>39558.30407441861</v>
      </c>
      <c r="U79" s="10">
        <v>4147.257590071019</v>
      </c>
      <c r="V79" s="10">
        <v>12218.035266963772</v>
      </c>
      <c r="W79" s="10">
        <v>-2691.6200082462556</v>
      </c>
      <c r="X79" s="10">
        <v>8922.689669653113</v>
      </c>
      <c r="Y79" s="10">
        <v>-3654</v>
      </c>
      <c r="Z79" s="10">
        <v>8951.18702953098</v>
      </c>
      <c r="AB79" s="10">
        <v>36934.08713041121</v>
      </c>
      <c r="AC79" s="10">
        <v>39491.782867649556</v>
      </c>
      <c r="AD79" s="10">
        <v>76425.86999806076</v>
      </c>
      <c r="AE79" s="10"/>
      <c r="AF79" s="10">
        <v>63427.13331421111</v>
      </c>
      <c r="AG79" s="10">
        <v>73479.80207127823</v>
      </c>
      <c r="AH79" s="10">
        <v>75770.6950039369</v>
      </c>
      <c r="AI79" s="10">
        <v>76425.86999806076</v>
      </c>
      <c r="AJ79" s="10">
        <v>76425.86999806076</v>
      </c>
      <c r="AK79" s="10"/>
      <c r="AL79" s="10">
        <v>65708.54711177778</v>
      </c>
      <c r="AM79" s="10">
        <v>78637.23</v>
      </c>
      <c r="AN79" s="10">
        <v>71311.07666666666</v>
      </c>
      <c r="AO79" s="10" t="s">
        <v>54</v>
      </c>
      <c r="AP79" s="10">
        <v>-4109.311978877777</v>
      </c>
      <c r="AQ79" s="10">
        <v>0</v>
      </c>
      <c r="AR79" s="10">
        <v>0</v>
      </c>
      <c r="AS79" s="10">
        <v>0</v>
      </c>
      <c r="AT79" s="10">
        <v>0</v>
      </c>
      <c r="AU79" s="10"/>
      <c r="AV79" s="10">
        <v>59317.821335333334</v>
      </c>
      <c r="AW79" s="10">
        <v>59318</v>
      </c>
      <c r="AX79" s="10">
        <v>78637.23</v>
      </c>
      <c r="AY79" s="10">
        <v>70800</v>
      </c>
      <c r="AZ79" s="10">
        <v>78637.23</v>
      </c>
      <c r="BA79" s="10">
        <v>76425.86999806076</v>
      </c>
      <c r="BB79" s="10">
        <v>76425.86999806076</v>
      </c>
      <c r="BD79" s="9">
        <v>3438</v>
      </c>
      <c r="BE79" s="13">
        <v>8.218477310130874</v>
      </c>
      <c r="BF79" s="13">
        <v>28255.124992229943</v>
      </c>
      <c r="BG79" s="14">
        <v>0.0033247237801161777</v>
      </c>
      <c r="BM79" s="4">
        <v>126</v>
      </c>
      <c r="BN79" s="4">
        <v>11.666666666666671</v>
      </c>
      <c r="BO79" s="10">
        <v>51554</v>
      </c>
      <c r="BP79" s="10">
        <v>19757.07666666666</v>
      </c>
      <c r="BQ79" s="14">
        <v>0.32569315982545766</v>
      </c>
      <c r="BR79" s="14">
        <v>0.14907872696817415</v>
      </c>
      <c r="BS79" s="7">
        <v>0</v>
      </c>
      <c r="BU79" s="10">
        <v>70800</v>
      </c>
      <c r="BZ79" s="105">
        <f t="shared" si="5"/>
        <v>78637.23</v>
      </c>
      <c r="CA79" s="106">
        <f t="shared" si="3"/>
        <v>0.1107</v>
      </c>
    </row>
    <row r="80" spans="1:79" ht="15" hidden="1">
      <c r="A80" s="2" t="s">
        <v>196</v>
      </c>
      <c r="B80" s="3" t="s">
        <v>197</v>
      </c>
      <c r="C80" s="19">
        <v>1</v>
      </c>
      <c r="D80" s="23"/>
      <c r="E80" s="19"/>
      <c r="F80" s="23"/>
      <c r="G80" s="19"/>
      <c r="H80" s="18"/>
      <c r="I80" s="18"/>
      <c r="J80" s="18"/>
      <c r="L80" s="4">
        <v>71</v>
      </c>
      <c r="M80" s="3" t="s">
        <v>198</v>
      </c>
      <c r="O80" s="5">
        <v>1</v>
      </c>
      <c r="P80" s="6">
        <v>0.009038594799795128</v>
      </c>
      <c r="Q80" s="10">
        <v>1130.2340486929907</v>
      </c>
      <c r="R80" s="10">
        <v>5286.086589738184</v>
      </c>
      <c r="T80" s="10">
        <v>39558.30407441861</v>
      </c>
      <c r="U80" s="10">
        <v>4147.257590071019</v>
      </c>
      <c r="V80" s="10">
        <v>12218.035266963772</v>
      </c>
      <c r="W80" s="10">
        <v>-2691.6200082462556</v>
      </c>
      <c r="X80" s="10">
        <v>4461.3448348265565</v>
      </c>
      <c r="Y80" s="10">
        <v>0</v>
      </c>
      <c r="Z80" s="10">
        <v>8951.18702953098</v>
      </c>
      <c r="AB80" s="10">
        <v>36530.41471299793</v>
      </c>
      <c r="AC80" s="10">
        <v>24524.05175163078</v>
      </c>
      <c r="AD80" s="10">
        <v>61054.46646462871</v>
      </c>
      <c r="AE80" s="10"/>
      <c r="AF80" s="10">
        <v>54610.35397833006</v>
      </c>
      <c r="AG80" s="10">
        <v>55166.136071777655</v>
      </c>
      <c r="AH80" s="10">
        <v>55934.79935614257</v>
      </c>
      <c r="AI80" s="10">
        <v>61054.46646462871</v>
      </c>
      <c r="AJ80" s="10">
        <v>61054.46646462871</v>
      </c>
      <c r="AK80" s="10"/>
      <c r="AL80" s="10">
        <v>54405.891326110024</v>
      </c>
      <c r="AM80" s="10">
        <v>56071.97917228952</v>
      </c>
      <c r="AN80" s="10">
        <v>55274.659724096506</v>
      </c>
      <c r="AO80" s="10" t="s">
        <v>62</v>
      </c>
      <c r="AP80" s="10">
        <v>0</v>
      </c>
      <c r="AQ80" s="10">
        <v>0</v>
      </c>
      <c r="AR80" s="10">
        <v>-1618.1685420018184</v>
      </c>
      <c r="AS80" s="10">
        <v>0</v>
      </c>
      <c r="AT80" s="10">
        <v>0</v>
      </c>
      <c r="AU80" s="10"/>
      <c r="AV80" s="10">
        <v>54610.35397833006</v>
      </c>
      <c r="AW80" s="10">
        <v>54610</v>
      </c>
      <c r="AX80" s="10">
        <v>56071.97917228952</v>
      </c>
      <c r="AY80" s="10">
        <v>56038</v>
      </c>
      <c r="AZ80" s="10">
        <v>59436.297922626894</v>
      </c>
      <c r="BA80" s="10">
        <v>61054.46646462871</v>
      </c>
      <c r="BB80" s="10">
        <v>61054.46646462871</v>
      </c>
      <c r="BD80" s="9">
        <v>8239</v>
      </c>
      <c r="BE80" s="13">
        <v>10.65159287595037</v>
      </c>
      <c r="BF80" s="13">
        <v>87758.4737049551</v>
      </c>
      <c r="BG80" s="14">
        <v>0.010326363253172688</v>
      </c>
      <c r="BM80" s="4">
        <v>70</v>
      </c>
      <c r="BN80" s="4">
        <v>-1</v>
      </c>
      <c r="BO80" s="10">
        <v>51458</v>
      </c>
      <c r="BP80" s="10">
        <v>3816.6597240965057</v>
      </c>
      <c r="BQ80" s="14">
        <v>0.026764616734391546</v>
      </c>
      <c r="BR80" s="14">
        <v>0.014285714285714285</v>
      </c>
      <c r="BS80" s="7">
        <v>0.060000000000000116</v>
      </c>
      <c r="BU80" s="10">
        <v>56038</v>
      </c>
      <c r="BZ80" s="105">
        <f t="shared" si="5"/>
        <v>59436.297922626894</v>
      </c>
      <c r="CA80" s="106">
        <f t="shared" si="3"/>
        <v>0.0606</v>
      </c>
    </row>
    <row r="81" spans="1:79" ht="30" hidden="1">
      <c r="A81" s="2" t="s">
        <v>199</v>
      </c>
      <c r="B81" s="3" t="s">
        <v>197</v>
      </c>
      <c r="C81" s="19">
        <v>2</v>
      </c>
      <c r="D81" s="23"/>
      <c r="E81" s="19"/>
      <c r="F81" s="23"/>
      <c r="G81" s="19">
        <v>0</v>
      </c>
      <c r="H81" s="18"/>
      <c r="I81" s="18"/>
      <c r="J81" s="18"/>
      <c r="L81" s="4">
        <v>208.33333333333331</v>
      </c>
      <c r="M81" s="3" t="s">
        <v>200</v>
      </c>
      <c r="O81" s="5">
        <v>2</v>
      </c>
      <c r="P81" s="6">
        <v>0.018077189599590256</v>
      </c>
      <c r="Q81" s="10">
        <v>2260.4680973859813</v>
      </c>
      <c r="R81" s="10">
        <v>10572.173179476367</v>
      </c>
      <c r="T81" s="10">
        <v>79116.60814883721</v>
      </c>
      <c r="U81" s="10">
        <v>8294.515180142038</v>
      </c>
      <c r="V81" s="10">
        <v>24436.070533927545</v>
      </c>
      <c r="W81" s="10">
        <v>-5383.240016492511</v>
      </c>
      <c r="X81" s="10">
        <v>8922.689669653113</v>
      </c>
      <c r="Y81" s="10">
        <v>0</v>
      </c>
      <c r="Z81" s="10">
        <v>17902.37405906196</v>
      </c>
      <c r="AB81" s="10">
        <v>73060.82942599586</v>
      </c>
      <c r="AC81" s="10">
        <v>71960.2457500903</v>
      </c>
      <c r="AD81" s="10">
        <v>145021.07517608616</v>
      </c>
      <c r="AE81" s="10"/>
      <c r="AF81" s="10">
        <v>129394.69457265912</v>
      </c>
      <c r="AG81" s="10">
        <v>130517.77693306009</v>
      </c>
      <c r="AH81" s="10">
        <v>131808.37035513605</v>
      </c>
      <c r="AI81" s="10">
        <v>145021.07517608616</v>
      </c>
      <c r="AJ81" s="10">
        <v>145021.07517608616</v>
      </c>
      <c r="AK81" s="10"/>
      <c r="AL81" s="10">
        <v>101174.5106</v>
      </c>
      <c r="AM81" s="10">
        <v>110800</v>
      </c>
      <c r="AN81" s="10">
        <v>107952.33333333333</v>
      </c>
      <c r="AO81" s="10" t="s">
        <v>62</v>
      </c>
      <c r="AP81" s="10">
        <v>-26541.942772659124</v>
      </c>
      <c r="AQ81" s="10">
        <v>-20313.64693306008</v>
      </c>
      <c r="AR81" s="10">
        <v>-27573.07517608616</v>
      </c>
      <c r="AS81" s="10">
        <v>-11287.063550265972</v>
      </c>
      <c r="AT81" s="10">
        <v>-3931.692910845886</v>
      </c>
      <c r="AU81" s="10"/>
      <c r="AV81" s="10">
        <v>102852.7518</v>
      </c>
      <c r="AW81" s="10">
        <v>102853</v>
      </c>
      <c r="AX81" s="10">
        <v>110800</v>
      </c>
      <c r="AY81" s="10">
        <v>107221</v>
      </c>
      <c r="AZ81" s="10">
        <v>117448</v>
      </c>
      <c r="BA81" s="10">
        <v>133734.0116258202</v>
      </c>
      <c r="BB81" s="10">
        <v>141089.38226524027</v>
      </c>
      <c r="BD81" s="9">
        <v>15502</v>
      </c>
      <c r="BE81" s="13">
        <v>5.837724774975867</v>
      </c>
      <c r="BF81" s="13">
        <v>90496.4094616759</v>
      </c>
      <c r="BG81" s="14">
        <v>0.010648530651876579</v>
      </c>
      <c r="BM81" s="4">
        <v>240</v>
      </c>
      <c r="BN81" s="4">
        <v>31.666666666666686</v>
      </c>
      <c r="BO81" s="10">
        <v>94800</v>
      </c>
      <c r="BP81" s="10">
        <v>13152.333333333328</v>
      </c>
      <c r="BQ81" s="14">
        <v>0.07726821169990322</v>
      </c>
      <c r="BR81" s="14">
        <v>0.004016064257028021</v>
      </c>
      <c r="BS81" s="7">
        <v>0.06</v>
      </c>
      <c r="BU81" s="10">
        <v>107221</v>
      </c>
      <c r="BZ81" s="105">
        <f t="shared" si="5"/>
        <v>117448</v>
      </c>
      <c r="CA81" s="106">
        <f t="shared" si="3"/>
        <v>0.0954</v>
      </c>
    </row>
    <row r="82" spans="1:79" ht="30" hidden="1">
      <c r="A82" s="2" t="s">
        <v>201</v>
      </c>
      <c r="B82" s="3" t="s">
        <v>197</v>
      </c>
      <c r="C82" s="21">
        <v>0.67</v>
      </c>
      <c r="D82" s="23"/>
      <c r="E82" s="19"/>
      <c r="F82" s="23"/>
      <c r="G82" s="19">
        <v>1</v>
      </c>
      <c r="H82" s="18"/>
      <c r="I82" s="18"/>
      <c r="J82" s="18"/>
      <c r="L82" s="4">
        <v>57.33333333333333</v>
      </c>
      <c r="M82" s="3" t="s">
        <v>202</v>
      </c>
      <c r="O82" s="5">
        <v>0.7200000000000001</v>
      </c>
      <c r="P82" s="6">
        <v>0.006507788255852493</v>
      </c>
      <c r="Q82" s="10">
        <v>813.7685150589534</v>
      </c>
      <c r="R82" s="10">
        <v>3805.982344611493</v>
      </c>
      <c r="T82" s="10">
        <v>26504.063729860467</v>
      </c>
      <c r="U82" s="10">
        <v>2778.6625853475825</v>
      </c>
      <c r="V82" s="10">
        <v>8186.083628865727</v>
      </c>
      <c r="W82" s="10">
        <v>-1803.3854055249913</v>
      </c>
      <c r="X82" s="10">
        <v>7450.4458741603485</v>
      </c>
      <c r="Y82" s="10">
        <v>0</v>
      </c>
      <c r="Z82" s="10">
        <v>5997.295309785757</v>
      </c>
      <c r="AB82" s="10">
        <v>26866.458291082672</v>
      </c>
      <c r="AC82" s="10">
        <v>19803.45963042485</v>
      </c>
      <c r="AD82" s="10">
        <v>46669.91792150753</v>
      </c>
      <c r="AE82" s="10"/>
      <c r="AF82" s="10">
        <v>40718.19360601655</v>
      </c>
      <c r="AG82" s="10">
        <v>45013.09411981306</v>
      </c>
      <c r="AH82" s="10">
        <v>44101.53326482469</v>
      </c>
      <c r="AI82" s="10">
        <v>46669.91792150753</v>
      </c>
      <c r="AJ82" s="10">
        <v>46669.91792150753</v>
      </c>
      <c r="AK82" s="10"/>
      <c r="AL82" s="10">
        <v>41003.00453533885</v>
      </c>
      <c r="AM82" s="10">
        <v>46187.909999999996</v>
      </c>
      <c r="AN82" s="10">
        <v>43843.97</v>
      </c>
      <c r="AO82" s="10" t="s">
        <v>62</v>
      </c>
      <c r="AP82" s="10">
        <v>0</v>
      </c>
      <c r="AQ82" s="10">
        <v>-386.65411981305806</v>
      </c>
      <c r="AR82" s="10">
        <v>0</v>
      </c>
      <c r="AS82" s="10">
        <v>0</v>
      </c>
      <c r="AT82" s="10">
        <v>0</v>
      </c>
      <c r="AU82" s="10"/>
      <c r="AV82" s="10">
        <v>40718.19360601655</v>
      </c>
      <c r="AW82" s="10">
        <v>40718</v>
      </c>
      <c r="AX82" s="10">
        <v>46187.909999999996</v>
      </c>
      <c r="AY82" s="10">
        <v>44782</v>
      </c>
      <c r="AZ82" s="10">
        <v>46669.91792150753</v>
      </c>
      <c r="BA82" s="10">
        <v>46669.91792150753</v>
      </c>
      <c r="BB82" s="10">
        <v>46669.91792150753</v>
      </c>
      <c r="BD82" s="9">
        <v>1911</v>
      </c>
      <c r="BE82" s="13">
        <v>11.04694455840016</v>
      </c>
      <c r="BF82" s="13">
        <v>21110.711051102706</v>
      </c>
      <c r="BG82" s="14">
        <v>0.0024840549481222893</v>
      </c>
      <c r="BM82" s="4">
        <v>48</v>
      </c>
      <c r="BN82" s="4">
        <v>-9.333333333333329</v>
      </c>
      <c r="BO82" s="10">
        <v>39357</v>
      </c>
      <c r="BP82" s="10">
        <v>4486.970000000001</v>
      </c>
      <c r="BQ82" s="14">
        <v>0.13433101789602064</v>
      </c>
      <c r="BR82" s="14">
        <v>0.06172839506172817</v>
      </c>
      <c r="BS82" s="7">
        <v>0.010435802821723935</v>
      </c>
      <c r="BU82" s="10">
        <v>44782</v>
      </c>
      <c r="BZ82" s="105">
        <f t="shared" si="5"/>
        <v>46669.91792150753</v>
      </c>
      <c r="CA82" s="106">
        <f t="shared" si="3"/>
        <v>0.0422</v>
      </c>
    </row>
    <row r="83" spans="1:79" ht="15" hidden="1">
      <c r="A83" s="2" t="s">
        <v>203</v>
      </c>
      <c r="B83" s="3" t="s">
        <v>197</v>
      </c>
      <c r="C83" s="19">
        <v>1</v>
      </c>
      <c r="D83" s="23">
        <v>2</v>
      </c>
      <c r="E83" s="19">
        <v>1</v>
      </c>
      <c r="F83" s="23"/>
      <c r="G83" s="19">
        <v>1</v>
      </c>
      <c r="H83" s="18"/>
      <c r="I83" s="18"/>
      <c r="J83" s="18"/>
      <c r="L83" s="4">
        <v>276</v>
      </c>
      <c r="M83" s="3" t="s">
        <v>204</v>
      </c>
      <c r="O83" s="5">
        <v>1.3833333333333333</v>
      </c>
      <c r="P83" s="6">
        <v>0.012503389473049928</v>
      </c>
      <c r="Q83" s="10">
        <v>1563.4904340253038</v>
      </c>
      <c r="R83" s="10">
        <v>7312.419782471155</v>
      </c>
      <c r="T83" s="10">
        <v>118674.91222325581</v>
      </c>
      <c r="U83" s="10">
        <v>16589.030360284076</v>
      </c>
      <c r="V83" s="10">
        <v>48872.14106785509</v>
      </c>
      <c r="W83" s="10">
        <v>-8862.526629030981</v>
      </c>
      <c r="X83" s="10">
        <v>22306.724174132778</v>
      </c>
      <c r="Y83" s="10">
        <v>-100216</v>
      </c>
      <c r="Z83" s="10">
        <v>8951.18702953098</v>
      </c>
      <c r="AB83" s="10">
        <v>57595.689221262095</v>
      </c>
      <c r="AC83" s="10">
        <v>95332.93356971964</v>
      </c>
      <c r="AD83" s="10">
        <v>152928.62279098172</v>
      </c>
      <c r="AE83" s="10"/>
      <c r="AF83" s="10">
        <v>112622.31829658561</v>
      </c>
      <c r="AG83" s="10">
        <v>117735.25999253281</v>
      </c>
      <c r="AH83" s="10">
        <v>122933.12150339181</v>
      </c>
      <c r="AI83" s="10">
        <v>152928.62279098172</v>
      </c>
      <c r="AJ83" s="10">
        <v>152928.62279098172</v>
      </c>
      <c r="AK83" s="10"/>
      <c r="AL83" s="10">
        <v>116775.69438588891</v>
      </c>
      <c r="AM83" s="10">
        <v>123128.54000000001</v>
      </c>
      <c r="AN83" s="10">
        <v>117243.84666666668</v>
      </c>
      <c r="AO83" s="10" t="s">
        <v>54</v>
      </c>
      <c r="AP83" s="10">
        <v>-177.85513891893788</v>
      </c>
      <c r="AQ83" s="10">
        <v>-1576.3499925327924</v>
      </c>
      <c r="AR83" s="10">
        <v>-22412.370390981712</v>
      </c>
      <c r="AS83" s="10">
        <v>-7684.055406217318</v>
      </c>
      <c r="AT83" s="10">
        <v>0</v>
      </c>
      <c r="AU83" s="10"/>
      <c r="AV83" s="10">
        <v>112444.46315766667</v>
      </c>
      <c r="AW83" s="10">
        <v>112444</v>
      </c>
      <c r="AX83" s="10">
        <v>123128.54000000001</v>
      </c>
      <c r="AY83" s="10">
        <v>122810</v>
      </c>
      <c r="AZ83" s="10">
        <v>130516.25240000001</v>
      </c>
      <c r="BA83" s="10">
        <v>145244.5673847644</v>
      </c>
      <c r="BB83" s="10">
        <v>152928.62279098172</v>
      </c>
      <c r="BD83" s="9">
        <v>10509</v>
      </c>
      <c r="BE83" s="13">
        <v>11.61317034743192</v>
      </c>
      <c r="BF83" s="13">
        <v>122042.80718116205</v>
      </c>
      <c r="BG83" s="14">
        <v>0.014360531880107592</v>
      </c>
      <c r="BM83" s="4">
        <v>322</v>
      </c>
      <c r="BN83" s="4">
        <v>46</v>
      </c>
      <c r="BO83" s="10">
        <v>117242</v>
      </c>
      <c r="BP83" s="10">
        <v>1.8466666666790843</v>
      </c>
      <c r="BQ83" s="14">
        <v>0.09501647784428838</v>
      </c>
      <c r="BR83" s="14">
        <v>0.10106382978723408</v>
      </c>
      <c r="BS83" s="7">
        <v>0.060000000000000026</v>
      </c>
      <c r="BU83" s="10">
        <v>122810</v>
      </c>
      <c r="BZ83" s="105">
        <f t="shared" si="5"/>
        <v>130516.25240000001</v>
      </c>
      <c r="CA83" s="106">
        <f t="shared" si="3"/>
        <v>0.0627</v>
      </c>
    </row>
    <row r="84" spans="1:79" ht="15" hidden="1">
      <c r="A84" s="2" t="s">
        <v>205</v>
      </c>
      <c r="B84" s="3" t="s">
        <v>197</v>
      </c>
      <c r="C84" s="19">
        <v>1</v>
      </c>
      <c r="D84" s="23"/>
      <c r="E84" s="19"/>
      <c r="F84" s="23"/>
      <c r="G84" s="19"/>
      <c r="H84" s="18"/>
      <c r="I84" s="18"/>
      <c r="J84" s="18"/>
      <c r="L84" s="4">
        <v>164.33333333333334</v>
      </c>
      <c r="M84" s="3" t="s">
        <v>206</v>
      </c>
      <c r="O84" s="5">
        <v>1</v>
      </c>
      <c r="P84" s="6">
        <v>0.009038594799795128</v>
      </c>
      <c r="Q84" s="10">
        <v>1130.2340486929907</v>
      </c>
      <c r="R84" s="10">
        <v>5286.086589738184</v>
      </c>
      <c r="T84" s="10">
        <v>39558.30407441861</v>
      </c>
      <c r="U84" s="10">
        <v>4147.257590071019</v>
      </c>
      <c r="V84" s="10">
        <v>12218.035266963772</v>
      </c>
      <c r="W84" s="10">
        <v>-2691.6200082462556</v>
      </c>
      <c r="X84" s="10">
        <v>4461.3448348265565</v>
      </c>
      <c r="Y84" s="10">
        <v>0</v>
      </c>
      <c r="Z84" s="10">
        <v>8951.18702953098</v>
      </c>
      <c r="AB84" s="10">
        <v>36530.41471299793</v>
      </c>
      <c r="AC84" s="10">
        <v>56762.24184767124</v>
      </c>
      <c r="AD84" s="10">
        <v>93292.65656066917</v>
      </c>
      <c r="AE84" s="10"/>
      <c r="AF84" s="10">
        <v>84298.49230705947</v>
      </c>
      <c r="AG84" s="10">
        <v>84609.65433616808</v>
      </c>
      <c r="AH84" s="10">
        <v>86473.80744647208</v>
      </c>
      <c r="AI84" s="10">
        <v>93292.65656066917</v>
      </c>
      <c r="AJ84" s="10">
        <v>93292.65656066917</v>
      </c>
      <c r="AK84" s="10"/>
      <c r="AL84" s="10">
        <v>62267.162140555556</v>
      </c>
      <c r="AM84" s="10">
        <v>71880.72</v>
      </c>
      <c r="AN84" s="10">
        <v>67862.57333333333</v>
      </c>
      <c r="AO84" s="10" t="s">
        <v>54</v>
      </c>
      <c r="AP84" s="10">
        <v>-20403.81588539281</v>
      </c>
      <c r="AQ84" s="10">
        <v>-16797.164336168076</v>
      </c>
      <c r="AR84" s="10">
        <v>-17099.09336066917</v>
      </c>
      <c r="AS84" s="10">
        <v>-9222.82786048908</v>
      </c>
      <c r="AT84" s="10">
        <v>-4598.987281979178</v>
      </c>
      <c r="AU84" s="10"/>
      <c r="AV84" s="10">
        <v>63894.676421666656</v>
      </c>
      <c r="AW84" s="10">
        <v>63895</v>
      </c>
      <c r="AX84" s="10">
        <v>71880.72</v>
      </c>
      <c r="AY84" s="10">
        <v>71881</v>
      </c>
      <c r="AZ84" s="10">
        <v>76193.5632</v>
      </c>
      <c r="BA84" s="10">
        <v>84069.82870018009</v>
      </c>
      <c r="BB84" s="10">
        <v>88693.66927869</v>
      </c>
      <c r="BD84" s="9">
        <v>3498</v>
      </c>
      <c r="BE84" s="13">
        <v>12.492305905823525</v>
      </c>
      <c r="BF84" s="13">
        <v>43698.08605857069</v>
      </c>
      <c r="BG84" s="14">
        <v>0.005141865976683727</v>
      </c>
      <c r="BM84" s="4">
        <v>210</v>
      </c>
      <c r="BN84" s="4">
        <v>45.66666666666666</v>
      </c>
      <c r="BO84" s="10">
        <v>58782</v>
      </c>
      <c r="BP84" s="10">
        <v>9080.573333333334</v>
      </c>
      <c r="BQ84" s="14">
        <v>0.12498762065293567</v>
      </c>
      <c r="BR84" s="14">
        <v>-0.02952755905511811</v>
      </c>
      <c r="BS84" s="7">
        <v>0.06000000000000004</v>
      </c>
      <c r="BU84" s="10">
        <v>71881</v>
      </c>
      <c r="BZ84" s="105">
        <f t="shared" si="5"/>
        <v>76193.5632</v>
      </c>
      <c r="CA84" s="106">
        <f t="shared" si="3"/>
        <v>0.06</v>
      </c>
    </row>
    <row r="85" spans="1:79" ht="30" hidden="1">
      <c r="A85" s="2" t="s">
        <v>207</v>
      </c>
      <c r="B85" s="3" t="s">
        <v>197</v>
      </c>
      <c r="C85" s="19">
        <v>1</v>
      </c>
      <c r="D85" s="23">
        <v>1</v>
      </c>
      <c r="E85" s="19"/>
      <c r="F85" s="23"/>
      <c r="G85" s="19"/>
      <c r="H85" s="18"/>
      <c r="I85" s="18"/>
      <c r="J85" s="18"/>
      <c r="L85" s="4">
        <v>136.33333333333334</v>
      </c>
      <c r="O85" s="5">
        <v>1</v>
      </c>
      <c r="P85" s="6">
        <v>0.009038594799795128</v>
      </c>
      <c r="Q85" s="10">
        <v>1130.2340486929907</v>
      </c>
      <c r="R85" s="10">
        <v>5286.086589738184</v>
      </c>
      <c r="T85" s="10">
        <v>79116.60814883721</v>
      </c>
      <c r="U85" s="10">
        <v>8294.515180142038</v>
      </c>
      <c r="V85" s="10">
        <v>24436.070533927545</v>
      </c>
      <c r="W85" s="10">
        <v>-5383.240016492511</v>
      </c>
      <c r="X85" s="10">
        <v>8922.689669653113</v>
      </c>
      <c r="Y85" s="10">
        <v>-50108</v>
      </c>
      <c r="Z85" s="10">
        <v>8951.18702953098</v>
      </c>
      <c r="AB85" s="10">
        <v>40323.075592014786</v>
      </c>
      <c r="AC85" s="10">
        <v>47090.7848188591</v>
      </c>
      <c r="AD85" s="10">
        <v>87413.8604108739</v>
      </c>
      <c r="AE85" s="10"/>
      <c r="AF85" s="10"/>
      <c r="AG85" s="10"/>
      <c r="AH85" s="10"/>
      <c r="AI85" s="10">
        <v>87413.8604108739</v>
      </c>
      <c r="AJ85" s="10"/>
      <c r="AK85" s="10"/>
      <c r="AL85" s="10"/>
      <c r="AM85" s="10">
        <v>74433.2</v>
      </c>
      <c r="AN85" s="10"/>
      <c r="AO85" s="10" t="s">
        <v>54</v>
      </c>
      <c r="AP85" s="10"/>
      <c r="AQ85" s="10"/>
      <c r="AR85" s="10">
        <v>-8514.6684108739</v>
      </c>
      <c r="AS85" s="10"/>
      <c r="AT85" s="10"/>
      <c r="AU85" s="10"/>
      <c r="AV85" s="10"/>
      <c r="AW85" s="10"/>
      <c r="AX85" s="10">
        <v>77490</v>
      </c>
      <c r="AY85" s="10">
        <v>78591</v>
      </c>
      <c r="AZ85" s="10">
        <v>78899.192</v>
      </c>
      <c r="BA85" s="10"/>
      <c r="BB85" s="10"/>
      <c r="BD85" s="9"/>
      <c r="BE85" s="13"/>
      <c r="BF85" s="13"/>
      <c r="BG85" s="14"/>
      <c r="BM85" s="4"/>
      <c r="BN85" s="4"/>
      <c r="BO85" s="10"/>
      <c r="BP85" s="10"/>
      <c r="BQ85" s="14"/>
      <c r="BR85" s="14"/>
      <c r="BS85" s="7">
        <v>0.018185469092786108</v>
      </c>
      <c r="BU85" s="10">
        <v>78591</v>
      </c>
      <c r="BZ85" s="105">
        <f t="shared" si="5"/>
        <v>78899.192</v>
      </c>
      <c r="CA85" s="106">
        <f t="shared" si="3"/>
        <v>0.0039</v>
      </c>
    </row>
    <row r="86" spans="1:79" ht="15" hidden="1">
      <c r="A86" s="2" t="s">
        <v>208</v>
      </c>
      <c r="B86" s="3" t="s">
        <v>197</v>
      </c>
      <c r="C86" s="19"/>
      <c r="D86" s="23"/>
      <c r="E86" s="19">
        <v>1</v>
      </c>
      <c r="F86" s="23"/>
      <c r="G86" s="19"/>
      <c r="H86" s="18"/>
      <c r="I86" s="18"/>
      <c r="J86" s="18"/>
      <c r="L86" s="4">
        <v>70.33333333333334</v>
      </c>
      <c r="O86" s="5">
        <v>0.3333333333333333</v>
      </c>
      <c r="P86" s="6">
        <v>0.0030128649332650426</v>
      </c>
      <c r="Q86" s="10">
        <v>376.74468289766355</v>
      </c>
      <c r="R86" s="10">
        <v>1762.0288632460613</v>
      </c>
      <c r="T86" s="10">
        <v>0</v>
      </c>
      <c r="U86" s="10">
        <v>4147.257590071019</v>
      </c>
      <c r="V86" s="10">
        <v>12218.035266963772</v>
      </c>
      <c r="W86" s="10">
        <v>-787.6666042922137</v>
      </c>
      <c r="X86" s="10">
        <v>4461.3448348265565</v>
      </c>
      <c r="Y86" s="10">
        <v>0</v>
      </c>
      <c r="Z86" s="10">
        <v>0</v>
      </c>
      <c r="AB86" s="10">
        <v>11088.872316856428</v>
      </c>
      <c r="AC86" s="10">
        <v>24293.778965230493</v>
      </c>
      <c r="AD86" s="10">
        <v>35382.651282086925</v>
      </c>
      <c r="AE86" s="10"/>
      <c r="AF86" s="10"/>
      <c r="AG86" s="10"/>
      <c r="AH86" s="10"/>
      <c r="AI86" s="10">
        <v>35382.651282086925</v>
      </c>
      <c r="AJ86" s="10"/>
      <c r="AK86" s="10"/>
      <c r="AL86" s="10"/>
      <c r="AM86" s="10">
        <v>28713.280000000002</v>
      </c>
      <c r="AN86" s="10"/>
      <c r="AO86" s="10" t="s">
        <v>54</v>
      </c>
      <c r="AP86" s="10"/>
      <c r="AQ86" s="10"/>
      <c r="AR86" s="10">
        <v>-4946.574482086922</v>
      </c>
      <c r="AS86" s="10"/>
      <c r="AT86" s="10"/>
      <c r="AU86" s="10"/>
      <c r="AV86" s="10"/>
      <c r="AW86" s="10"/>
      <c r="AX86" s="10">
        <v>38219</v>
      </c>
      <c r="AY86" s="10">
        <v>28476</v>
      </c>
      <c r="AZ86" s="10">
        <v>30436.076800000003</v>
      </c>
      <c r="BA86" s="10"/>
      <c r="BB86" s="10"/>
      <c r="BD86" s="9"/>
      <c r="BE86" s="13"/>
      <c r="BF86" s="13"/>
      <c r="BG86" s="14"/>
      <c r="BM86" s="4"/>
      <c r="BN86" s="4"/>
      <c r="BO86" s="10"/>
      <c r="BP86" s="10"/>
      <c r="BQ86" s="14"/>
      <c r="BR86" s="14"/>
      <c r="BS86" s="7">
        <v>-0.2036401580365786</v>
      </c>
      <c r="BU86" s="10">
        <v>28476</v>
      </c>
      <c r="BZ86" s="105">
        <f t="shared" si="5"/>
        <v>30436.076800000003</v>
      </c>
      <c r="CA86" s="106">
        <f t="shared" si="3"/>
        <v>0.0688</v>
      </c>
    </row>
    <row r="87" spans="1:79" ht="30" hidden="1">
      <c r="A87" s="2" t="s">
        <v>209</v>
      </c>
      <c r="B87" s="3" t="s">
        <v>197</v>
      </c>
      <c r="C87" s="19">
        <v>1</v>
      </c>
      <c r="D87" s="23"/>
      <c r="E87" s="19"/>
      <c r="F87" s="23"/>
      <c r="G87" s="19"/>
      <c r="H87" s="18"/>
      <c r="I87" s="18"/>
      <c r="J87" s="18"/>
      <c r="L87" s="4">
        <v>100.66666666666666</v>
      </c>
      <c r="O87" s="5">
        <v>1</v>
      </c>
      <c r="P87" s="6">
        <v>0.009038594799795128</v>
      </c>
      <c r="Q87" s="10">
        <v>1130.2340486929907</v>
      </c>
      <c r="R87" s="10">
        <v>5286.086589738184</v>
      </c>
      <c r="T87" s="10">
        <v>39558.30407441861</v>
      </c>
      <c r="U87" s="10">
        <v>4147.257590071019</v>
      </c>
      <c r="V87" s="10">
        <v>12218.035266963772</v>
      </c>
      <c r="W87" s="10">
        <v>-2691.6200082462556</v>
      </c>
      <c r="X87" s="10">
        <v>4461.3448348265565</v>
      </c>
      <c r="Y87" s="10">
        <v>0</v>
      </c>
      <c r="Z87" s="10">
        <v>8951.18702953098</v>
      </c>
      <c r="AB87" s="10">
        <v>36530.41471299793</v>
      </c>
      <c r="AC87" s="10">
        <v>34771.19074644364</v>
      </c>
      <c r="AD87" s="10">
        <v>71301.60545944158</v>
      </c>
      <c r="AE87" s="10"/>
      <c r="AF87" s="10"/>
      <c r="AG87" s="10"/>
      <c r="AH87" s="10"/>
      <c r="AI87" s="10">
        <v>71301.60545944158</v>
      </c>
      <c r="AJ87" s="10"/>
      <c r="AK87" s="10"/>
      <c r="AL87" s="10"/>
      <c r="AM87" s="10">
        <v>34227.4</v>
      </c>
      <c r="AN87" s="10"/>
      <c r="AO87" s="10" t="s">
        <v>62</v>
      </c>
      <c r="AP87" s="10"/>
      <c r="AQ87" s="10"/>
      <c r="AR87" s="10">
        <v>-35020.561459441575</v>
      </c>
      <c r="AS87" s="10"/>
      <c r="AT87" s="10"/>
      <c r="AU87" s="10"/>
      <c r="AV87" s="10"/>
      <c r="AW87" s="10"/>
      <c r="AX87" s="10">
        <v>62806</v>
      </c>
      <c r="AY87" s="10">
        <v>28910</v>
      </c>
      <c r="AZ87" s="10">
        <v>36281.044</v>
      </c>
      <c r="BA87" s="10"/>
      <c r="BB87" s="10"/>
      <c r="BD87" s="9"/>
      <c r="BE87" s="13"/>
      <c r="BF87" s="13"/>
      <c r="BG87" s="14"/>
      <c r="BM87" s="4"/>
      <c r="BN87" s="4"/>
      <c r="BO87" s="10"/>
      <c r="BP87" s="10"/>
      <c r="BQ87" s="14"/>
      <c r="BR87" s="14"/>
      <c r="BS87" s="7">
        <v>-0.422331560678916</v>
      </c>
      <c r="BU87" s="10">
        <v>28910</v>
      </c>
      <c r="BZ87" s="105">
        <f t="shared" si="5"/>
        <v>36281.044</v>
      </c>
      <c r="CA87" s="106">
        <f t="shared" si="3"/>
        <v>0.255</v>
      </c>
    </row>
    <row r="88" spans="1:79" ht="15" hidden="1">
      <c r="A88" s="2" t="s">
        <v>210</v>
      </c>
      <c r="B88" s="3" t="s">
        <v>197</v>
      </c>
      <c r="C88" s="19">
        <v>0</v>
      </c>
      <c r="D88" s="23"/>
      <c r="E88" s="19"/>
      <c r="F88" s="23"/>
      <c r="G88" s="19"/>
      <c r="H88" s="18"/>
      <c r="I88" s="18"/>
      <c r="J88" s="18"/>
      <c r="L88" s="4">
        <v>8.666666666666666</v>
      </c>
      <c r="O88" s="5">
        <v>0</v>
      </c>
      <c r="P88" s="6">
        <v>0</v>
      </c>
      <c r="Q88" s="10">
        <v>0</v>
      </c>
      <c r="R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B88" s="10">
        <v>0</v>
      </c>
      <c r="AC88" s="10">
        <v>2993.5462232037567</v>
      </c>
      <c r="AD88" s="10">
        <v>2993.5462232037567</v>
      </c>
      <c r="AE88" s="10"/>
      <c r="AF88" s="10"/>
      <c r="AG88" s="10"/>
      <c r="AH88" s="10"/>
      <c r="AI88" s="10">
        <v>2993.5462232037567</v>
      </c>
      <c r="AJ88" s="10"/>
      <c r="AK88" s="10"/>
      <c r="AL88" s="10"/>
      <c r="AM88" s="10">
        <v>2752.8710865184107</v>
      </c>
      <c r="AN88" s="10"/>
      <c r="AO88" s="10" t="s">
        <v>54</v>
      </c>
      <c r="AP88" s="10"/>
      <c r="AQ88" s="10"/>
      <c r="AR88" s="10">
        <v>-75.50287149424094</v>
      </c>
      <c r="AS88" s="10"/>
      <c r="AT88" s="10"/>
      <c r="AU88" s="10"/>
      <c r="AV88" s="10"/>
      <c r="AW88" s="10"/>
      <c r="AX88" s="10">
        <v>0</v>
      </c>
      <c r="AY88" s="10">
        <v>2750</v>
      </c>
      <c r="AZ88" s="10">
        <v>2918.0433517095157</v>
      </c>
      <c r="BA88" s="10"/>
      <c r="BB88" s="10"/>
      <c r="BD88" s="9"/>
      <c r="BE88" s="13"/>
      <c r="BF88" s="13"/>
      <c r="BG88" s="14"/>
      <c r="BM88" s="4"/>
      <c r="BN88" s="4"/>
      <c r="BO88" s="10"/>
      <c r="BP88" s="10"/>
      <c r="BQ88" s="14"/>
      <c r="BR88" s="14"/>
      <c r="BS88" s="7" t="s">
        <v>211</v>
      </c>
      <c r="BU88" s="10">
        <v>2750</v>
      </c>
      <c r="BZ88" s="105">
        <f t="shared" si="5"/>
        <v>2918.0433517095157</v>
      </c>
      <c r="CA88" s="106">
        <f t="shared" si="3"/>
        <v>0.0611</v>
      </c>
    </row>
    <row r="89" spans="1:79" ht="15" hidden="1">
      <c r="A89" s="2" t="s">
        <v>212</v>
      </c>
      <c r="B89" s="3" t="s">
        <v>197</v>
      </c>
      <c r="C89" s="19">
        <v>0</v>
      </c>
      <c r="D89" s="23"/>
      <c r="E89" s="19"/>
      <c r="F89" s="23"/>
      <c r="G89" s="19"/>
      <c r="H89" s="18"/>
      <c r="I89" s="18"/>
      <c r="J89" s="18"/>
      <c r="L89" s="4">
        <v>19</v>
      </c>
      <c r="O89" s="5">
        <v>0</v>
      </c>
      <c r="P89" s="6">
        <v>0</v>
      </c>
      <c r="Q89" s="10">
        <v>0</v>
      </c>
      <c r="R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B89" s="10">
        <v>0</v>
      </c>
      <c r="AC89" s="10">
        <v>6562.7744124082365</v>
      </c>
      <c r="AD89" s="10">
        <v>6562.7744124082365</v>
      </c>
      <c r="AE89" s="10"/>
      <c r="AF89" s="10"/>
      <c r="AG89" s="10"/>
      <c r="AH89" s="10"/>
      <c r="AI89" s="10">
        <v>6562.7744124082365</v>
      </c>
      <c r="AJ89" s="10"/>
      <c r="AK89" s="10"/>
      <c r="AL89" s="10"/>
      <c r="AM89" s="10">
        <v>9315</v>
      </c>
      <c r="AN89" s="10"/>
      <c r="AO89" s="10" t="s">
        <v>54</v>
      </c>
      <c r="AP89" s="10"/>
      <c r="AQ89" s="10"/>
      <c r="AR89" s="10">
        <v>0</v>
      </c>
      <c r="AS89" s="10"/>
      <c r="AT89" s="10"/>
      <c r="AU89" s="10"/>
      <c r="AV89" s="10"/>
      <c r="AW89" s="10"/>
      <c r="AX89" s="10">
        <v>0</v>
      </c>
      <c r="AY89" s="10">
        <v>0</v>
      </c>
      <c r="AZ89" s="10">
        <v>9315</v>
      </c>
      <c r="BA89" s="10"/>
      <c r="BB89" s="10"/>
      <c r="BD89" s="9"/>
      <c r="BE89" s="13"/>
      <c r="BF89" s="13"/>
      <c r="BG89" s="14"/>
      <c r="BM89" s="4"/>
      <c r="BN89" s="4"/>
      <c r="BO89" s="10"/>
      <c r="BP89" s="10"/>
      <c r="BQ89" s="14"/>
      <c r="BR89" s="14"/>
      <c r="BS89" s="7" t="s">
        <v>211</v>
      </c>
      <c r="BU89" s="10">
        <v>0</v>
      </c>
      <c r="BZ89" s="105">
        <f t="shared" si="5"/>
        <v>9315</v>
      </c>
      <c r="CA89" s="106" t="e">
        <f t="shared" si="3"/>
        <v>#DIV/0!</v>
      </c>
    </row>
    <row r="90" spans="1:79" ht="15" hidden="1">
      <c r="A90" s="2" t="s">
        <v>213</v>
      </c>
      <c r="B90" s="3" t="s">
        <v>197</v>
      </c>
      <c r="C90" s="21">
        <v>0.33</v>
      </c>
      <c r="D90" s="23"/>
      <c r="E90" s="19"/>
      <c r="F90" s="23"/>
      <c r="G90" s="19"/>
      <c r="H90" s="18"/>
      <c r="I90" s="18"/>
      <c r="J90" s="18"/>
      <c r="L90" s="4">
        <v>42</v>
      </c>
      <c r="M90" s="3" t="s">
        <v>214</v>
      </c>
      <c r="O90" s="5">
        <v>0.33</v>
      </c>
      <c r="P90" s="6">
        <v>0.0029827362839323925</v>
      </c>
      <c r="Q90" s="10">
        <v>372.977236068687</v>
      </c>
      <c r="R90" s="10">
        <v>1744.4085746136009</v>
      </c>
      <c r="T90" s="10">
        <v>13054.240344558142</v>
      </c>
      <c r="U90" s="10">
        <v>1368.5950047234364</v>
      </c>
      <c r="V90" s="10">
        <v>4031.9516380980454</v>
      </c>
      <c r="W90" s="10">
        <v>-888.2346027212642</v>
      </c>
      <c r="X90" s="10">
        <v>1472.2437954927636</v>
      </c>
      <c r="Y90" s="10">
        <v>0</v>
      </c>
      <c r="Z90" s="10">
        <v>2953.8917197452233</v>
      </c>
      <c r="AB90" s="10">
        <v>12055.03685528932</v>
      </c>
      <c r="AC90" s="10">
        <v>14507.185543218207</v>
      </c>
      <c r="AD90" s="10">
        <v>26562.222398507525</v>
      </c>
      <c r="AE90" s="10"/>
      <c r="AF90" s="10">
        <v>24865.628568498953</v>
      </c>
      <c r="AG90" s="10">
        <v>25154.911740734664</v>
      </c>
      <c r="AH90" s="10">
        <v>24843.172412278604</v>
      </c>
      <c r="AI90" s="10">
        <v>26562.222398507525</v>
      </c>
      <c r="AJ90" s="10">
        <v>26562.222398507525</v>
      </c>
      <c r="AK90" s="10"/>
      <c r="AL90" s="10">
        <v>19037.460144444445</v>
      </c>
      <c r="AM90" s="10">
        <v>21969.56</v>
      </c>
      <c r="AN90" s="10">
        <v>20737.52</v>
      </c>
      <c r="AO90" s="10" t="s">
        <v>54</v>
      </c>
      <c r="AP90" s="10">
        <v>-5348.248135165617</v>
      </c>
      <c r="AQ90" s="10">
        <v>-4428.621740734663</v>
      </c>
      <c r="AR90" s="10">
        <v>-3274.488798507522</v>
      </c>
      <c r="AS90" s="10">
        <v>-872.0714296785773</v>
      </c>
      <c r="AT90" s="10">
        <v>0</v>
      </c>
      <c r="AU90" s="10"/>
      <c r="AV90" s="10">
        <v>19517.380433333336</v>
      </c>
      <c r="AW90" s="10">
        <v>19517</v>
      </c>
      <c r="AX90" s="10">
        <v>21969.56</v>
      </c>
      <c r="AY90" s="10">
        <v>21200</v>
      </c>
      <c r="AZ90" s="10">
        <v>23287.733600000003</v>
      </c>
      <c r="BA90" s="10">
        <v>25690.150968828948</v>
      </c>
      <c r="BB90" s="10">
        <v>26562.222398507525</v>
      </c>
      <c r="BD90" s="9"/>
      <c r="BE90" s="9"/>
      <c r="BF90" s="13">
        <v>0</v>
      </c>
      <c r="BG90" s="14">
        <v>0</v>
      </c>
      <c r="BM90" s="4"/>
      <c r="BN90" s="4">
        <v>-42</v>
      </c>
      <c r="BO90" s="10"/>
      <c r="BP90" s="10">
        <v>20737.52</v>
      </c>
      <c r="BQ90" s="14">
        <v>0.12564081409606784</v>
      </c>
      <c r="BR90" s="14">
        <v>-0.08695652173913043</v>
      </c>
      <c r="BS90" s="7">
        <v>0.06000000000000008</v>
      </c>
      <c r="BU90" s="10">
        <v>21200</v>
      </c>
      <c r="BZ90" s="105">
        <f t="shared" si="5"/>
        <v>23287.733600000003</v>
      </c>
      <c r="CA90" s="106">
        <f t="shared" si="3"/>
        <v>0.0985</v>
      </c>
    </row>
    <row r="91" spans="1:79" ht="30" hidden="1">
      <c r="A91" s="2" t="s">
        <v>215</v>
      </c>
      <c r="B91" s="3" t="s">
        <v>216</v>
      </c>
      <c r="C91" s="19">
        <v>1</v>
      </c>
      <c r="D91" s="23"/>
      <c r="E91" s="19"/>
      <c r="F91" s="23"/>
      <c r="G91" s="19">
        <v>1</v>
      </c>
      <c r="H91" s="18"/>
      <c r="I91" s="18"/>
      <c r="J91" s="18"/>
      <c r="L91" s="4">
        <v>98.33333333333333</v>
      </c>
      <c r="M91" s="3" t="s">
        <v>217</v>
      </c>
      <c r="O91" s="5">
        <v>1.05</v>
      </c>
      <c r="P91" s="6">
        <v>0.009490524539784885</v>
      </c>
      <c r="Q91" s="10">
        <v>1186.7457511276402</v>
      </c>
      <c r="R91" s="10">
        <v>5550.390919225093</v>
      </c>
      <c r="T91" s="10">
        <v>39558.30407441861</v>
      </c>
      <c r="U91" s="10">
        <v>4147.257590071019</v>
      </c>
      <c r="V91" s="10">
        <v>12218.035266963772</v>
      </c>
      <c r="W91" s="10">
        <v>-2691.6200082462556</v>
      </c>
      <c r="X91" s="10">
        <v>8922.689669653113</v>
      </c>
      <c r="Y91" s="10">
        <v>0</v>
      </c>
      <c r="Z91" s="10">
        <v>8951.18702953098</v>
      </c>
      <c r="AB91" s="10">
        <v>38921.495146371984</v>
      </c>
      <c r="AC91" s="10">
        <v>33965.235994042625</v>
      </c>
      <c r="AD91" s="10">
        <v>72886.7311404146</v>
      </c>
      <c r="AE91" s="10"/>
      <c r="AF91" s="10">
        <v>63541.97414672301</v>
      </c>
      <c r="AG91" s="10">
        <v>64292.17397751089</v>
      </c>
      <c r="AH91" s="10">
        <v>64574.138005571585</v>
      </c>
      <c r="AI91" s="10">
        <v>72886.7311404146</v>
      </c>
      <c r="AJ91" s="10">
        <v>72886.7311404146</v>
      </c>
      <c r="AK91" s="10"/>
      <c r="AL91" s="10">
        <v>48616.807582111105</v>
      </c>
      <c r="AM91" s="10">
        <v>51929.4</v>
      </c>
      <c r="AN91" s="10">
        <v>49042.46666666667</v>
      </c>
      <c r="AO91" s="10" t="s">
        <v>62</v>
      </c>
      <c r="AP91" s="10">
        <v>-17333.75140038968</v>
      </c>
      <c r="AQ91" s="10">
        <v>-15301.953977510879</v>
      </c>
      <c r="AR91" s="10">
        <v>-17841.567140414598</v>
      </c>
      <c r="AS91" s="10">
        <v>-12131.714506293072</v>
      </c>
      <c r="AT91" s="10">
        <v>-8790.188591416387</v>
      </c>
      <c r="AU91" s="10"/>
      <c r="AV91" s="10">
        <v>46208.22274633333</v>
      </c>
      <c r="AW91" s="10">
        <v>46208</v>
      </c>
      <c r="AX91" s="10">
        <v>51929.4</v>
      </c>
      <c r="AY91" s="10">
        <v>49644</v>
      </c>
      <c r="AZ91" s="10">
        <v>55045.164000000004</v>
      </c>
      <c r="BA91" s="10">
        <v>60755.01663412153</v>
      </c>
      <c r="BB91" s="10">
        <v>64096.542548998215</v>
      </c>
      <c r="BD91" s="9">
        <v>3935</v>
      </c>
      <c r="BE91" s="13">
        <v>10.24902665813636</v>
      </c>
      <c r="BF91" s="13">
        <v>40329.91989976658</v>
      </c>
      <c r="BG91" s="14">
        <v>0.004745540632993403</v>
      </c>
      <c r="BM91" s="4">
        <v>113</v>
      </c>
      <c r="BN91" s="4">
        <v>14.666666666666671</v>
      </c>
      <c r="BO91" s="10">
        <v>42182</v>
      </c>
      <c r="BP91" s="10">
        <v>6860.466666666667</v>
      </c>
      <c r="BQ91" s="14">
        <v>0.12381296906989675</v>
      </c>
      <c r="BR91" s="14">
        <v>0.0554561717352414</v>
      </c>
      <c r="BS91" s="7">
        <v>0.06000000000000005</v>
      </c>
      <c r="BU91" s="10">
        <v>49644</v>
      </c>
      <c r="BZ91" s="105">
        <f t="shared" si="5"/>
        <v>55045.164000000004</v>
      </c>
      <c r="CA91" s="106">
        <f t="shared" si="3"/>
        <v>0.1088</v>
      </c>
    </row>
    <row r="92" spans="1:79" ht="45" hidden="1">
      <c r="A92" s="2" t="s">
        <v>218</v>
      </c>
      <c r="B92" s="3" t="s">
        <v>216</v>
      </c>
      <c r="C92" s="19">
        <v>1</v>
      </c>
      <c r="D92" s="23"/>
      <c r="E92" s="19"/>
      <c r="F92" s="23"/>
      <c r="G92" s="19"/>
      <c r="H92" s="18"/>
      <c r="I92" s="18"/>
      <c r="J92" s="18"/>
      <c r="L92" s="4">
        <v>104.33333333333333</v>
      </c>
      <c r="M92" s="3" t="s">
        <v>219</v>
      </c>
      <c r="O92" s="5">
        <v>1</v>
      </c>
      <c r="P92" s="6">
        <v>0.009038594799795128</v>
      </c>
      <c r="Q92" s="10">
        <v>1130.2340486929907</v>
      </c>
      <c r="R92" s="10">
        <v>5286.086589738184</v>
      </c>
      <c r="T92" s="10">
        <v>39558.30407441861</v>
      </c>
      <c r="U92" s="10">
        <v>4147.257590071019</v>
      </c>
      <c r="V92" s="10">
        <v>12218.035266963772</v>
      </c>
      <c r="W92" s="10">
        <v>-2691.6200082462556</v>
      </c>
      <c r="X92" s="10">
        <v>4461.3448348265565</v>
      </c>
      <c r="Y92" s="10">
        <v>0</v>
      </c>
      <c r="Z92" s="10">
        <v>8951.18702953098</v>
      </c>
      <c r="AB92" s="10">
        <v>36530.41471299793</v>
      </c>
      <c r="AC92" s="10">
        <v>36037.691071645226</v>
      </c>
      <c r="AD92" s="10">
        <v>72568.10578464315</v>
      </c>
      <c r="AE92" s="10"/>
      <c r="AF92" s="10">
        <v>86158.51824574519</v>
      </c>
      <c r="AG92" s="10">
        <v>85096.92673192084</v>
      </c>
      <c r="AH92" s="10">
        <v>73240.23727399597</v>
      </c>
      <c r="AI92" s="10">
        <v>72568.10578464315</v>
      </c>
      <c r="AJ92" s="10">
        <v>72568.10578464315</v>
      </c>
      <c r="AK92" s="10"/>
      <c r="AL92" s="10">
        <v>58481.012001055555</v>
      </c>
      <c r="AM92" s="10">
        <v>66813.92</v>
      </c>
      <c r="AN92" s="10">
        <v>62513.306666666664</v>
      </c>
      <c r="AO92" s="10" t="s">
        <v>62</v>
      </c>
      <c r="AP92" s="10">
        <v>-28464.05224257853</v>
      </c>
      <c r="AQ92" s="10">
        <v>-22064.83673192084</v>
      </c>
      <c r="AR92" s="10">
        <v>-1745.3505846431508</v>
      </c>
      <c r="AS92" s="10">
        <v>0</v>
      </c>
      <c r="AT92" s="10">
        <v>0</v>
      </c>
      <c r="AU92" s="10"/>
      <c r="AV92" s="10">
        <v>57694.46600316666</v>
      </c>
      <c r="AW92" s="10">
        <v>57694</v>
      </c>
      <c r="AX92" s="10">
        <v>66813.92</v>
      </c>
      <c r="AY92" s="10">
        <v>63217</v>
      </c>
      <c r="AZ92" s="10">
        <v>70822.7552</v>
      </c>
      <c r="BA92" s="10">
        <v>72568.10578464315</v>
      </c>
      <c r="BB92" s="10">
        <v>72568.10578464315</v>
      </c>
      <c r="BD92" s="9">
        <v>3371</v>
      </c>
      <c r="BE92" s="13">
        <v>12.385</v>
      </c>
      <c r="BF92" s="13">
        <v>41749.835</v>
      </c>
      <c r="BG92" s="14">
        <v>0.004912619189566425</v>
      </c>
      <c r="BM92" s="4">
        <v>149</v>
      </c>
      <c r="BN92" s="4">
        <v>44.66666666666667</v>
      </c>
      <c r="BO92" s="10">
        <v>52417</v>
      </c>
      <c r="BP92" s="10">
        <v>10096.306666666664</v>
      </c>
      <c r="BQ92" s="14">
        <v>0.15806462263352614</v>
      </c>
      <c r="BR92" s="14">
        <v>-0.28701594533029623</v>
      </c>
      <c r="BS92" s="7">
        <v>0.06000000000000002</v>
      </c>
      <c r="BU92" s="10">
        <v>63217</v>
      </c>
      <c r="BZ92" s="105">
        <f t="shared" si="5"/>
        <v>70822.7552</v>
      </c>
      <c r="CA92" s="106">
        <f t="shared" si="3"/>
        <v>0.1203</v>
      </c>
    </row>
    <row r="93" spans="1:79" ht="15" hidden="1">
      <c r="A93" s="2" t="s">
        <v>220</v>
      </c>
      <c r="B93" s="3" t="s">
        <v>216</v>
      </c>
      <c r="C93" s="19">
        <v>1</v>
      </c>
      <c r="D93" s="23"/>
      <c r="E93" s="19"/>
      <c r="F93" s="23"/>
      <c r="G93" s="19">
        <v>1</v>
      </c>
      <c r="H93" s="18"/>
      <c r="I93" s="18"/>
      <c r="J93" s="18"/>
      <c r="L93" s="4">
        <v>74.66666666666666</v>
      </c>
      <c r="M93" s="3" t="s">
        <v>221</v>
      </c>
      <c r="O93" s="5">
        <v>1.05</v>
      </c>
      <c r="P93" s="6">
        <v>0.009490524539784885</v>
      </c>
      <c r="Q93" s="10">
        <v>1186.7457511276402</v>
      </c>
      <c r="R93" s="10">
        <v>5550.390919225093</v>
      </c>
      <c r="T93" s="10">
        <v>39558.30407441861</v>
      </c>
      <c r="U93" s="10">
        <v>4147.257590071019</v>
      </c>
      <c r="V93" s="10">
        <v>12218.035266963772</v>
      </c>
      <c r="W93" s="10">
        <v>-2691.6200082462556</v>
      </c>
      <c r="X93" s="10">
        <v>8922.689669653113</v>
      </c>
      <c r="Y93" s="10">
        <v>0</v>
      </c>
      <c r="Z93" s="10">
        <v>8951.18702953098</v>
      </c>
      <c r="AB93" s="10">
        <v>38921.495146371984</v>
      </c>
      <c r="AC93" s="10">
        <v>25790.552076832366</v>
      </c>
      <c r="AD93" s="10">
        <v>64712.047223204354</v>
      </c>
      <c r="AE93" s="10"/>
      <c r="AF93" s="10">
        <v>58212.05669508871</v>
      </c>
      <c r="AG93" s="10">
        <v>60042.59402182567</v>
      </c>
      <c r="AH93" s="10">
        <v>60095.08348565658</v>
      </c>
      <c r="AI93" s="10">
        <v>64712.047223204354</v>
      </c>
      <c r="AJ93" s="10">
        <v>64712.047223204354</v>
      </c>
      <c r="AK93" s="10"/>
      <c r="AL93" s="10">
        <v>55080.32881038889</v>
      </c>
      <c r="AM93" s="10">
        <v>60060.19118929029</v>
      </c>
      <c r="AN93" s="10">
        <v>58300.39706309676</v>
      </c>
      <c r="AO93" s="10" t="s">
        <v>62</v>
      </c>
      <c r="AP93" s="10">
        <v>-2750.5302639220463</v>
      </c>
      <c r="AQ93" s="10">
        <v>-663.5140218256711</v>
      </c>
      <c r="AR93" s="10">
        <v>-1048.2445625566397</v>
      </c>
      <c r="AS93" s="10">
        <v>0</v>
      </c>
      <c r="AT93" s="10">
        <v>0</v>
      </c>
      <c r="AU93" s="10"/>
      <c r="AV93" s="10">
        <v>55461.52643116666</v>
      </c>
      <c r="AW93" s="10">
        <v>55462</v>
      </c>
      <c r="AX93" s="10">
        <v>60060.19118929029</v>
      </c>
      <c r="AY93" s="10">
        <v>59577</v>
      </c>
      <c r="AZ93" s="10">
        <v>63663.802660647714</v>
      </c>
      <c r="BA93" s="10">
        <v>64712.047223204354</v>
      </c>
      <c r="BB93" s="10">
        <v>64712.047223204354</v>
      </c>
      <c r="BD93" s="9">
        <v>4946</v>
      </c>
      <c r="BE93" s="13">
        <v>10.565483874757035</v>
      </c>
      <c r="BF93" s="13">
        <v>52256.8832445483</v>
      </c>
      <c r="BG93" s="14">
        <v>0.00614896244294379</v>
      </c>
      <c r="BM93" s="4">
        <v>86</v>
      </c>
      <c r="BN93" s="4">
        <v>11.333333333333343</v>
      </c>
      <c r="BO93" s="10">
        <v>51311</v>
      </c>
      <c r="BP93" s="10">
        <v>6989.39706309676</v>
      </c>
      <c r="BQ93" s="14">
        <v>0.08291630349970693</v>
      </c>
      <c r="BR93" s="14">
        <v>-0.008849557522123958</v>
      </c>
      <c r="BS93" s="7">
        <v>0.06000000000000005</v>
      </c>
      <c r="BU93" s="10">
        <v>59577</v>
      </c>
      <c r="BZ93" s="105">
        <f t="shared" si="5"/>
        <v>63663.802660647714</v>
      </c>
      <c r="CA93" s="106">
        <f t="shared" si="3"/>
        <v>0.0686</v>
      </c>
    </row>
    <row r="94" spans="1:79" ht="30" hidden="1">
      <c r="A94" s="2" t="s">
        <v>222</v>
      </c>
      <c r="B94" s="3" t="s">
        <v>216</v>
      </c>
      <c r="C94" s="19">
        <v>1</v>
      </c>
      <c r="D94" s="23"/>
      <c r="E94" s="19">
        <v>1</v>
      </c>
      <c r="F94" s="23"/>
      <c r="G94" s="19"/>
      <c r="H94" s="18"/>
      <c r="I94" s="18"/>
      <c r="J94" s="18"/>
      <c r="L94" s="4">
        <v>87.66666666666666</v>
      </c>
      <c r="M94" s="3" t="s">
        <v>223</v>
      </c>
      <c r="O94" s="5">
        <v>1.3333333333333333</v>
      </c>
      <c r="P94" s="6">
        <v>0.01205145973306017</v>
      </c>
      <c r="Q94" s="10">
        <v>1506.9787315906542</v>
      </c>
      <c r="R94" s="10">
        <v>7048.115452984245</v>
      </c>
      <c r="T94" s="10">
        <v>39558.30407441861</v>
      </c>
      <c r="U94" s="10">
        <v>8294.515180142038</v>
      </c>
      <c r="V94" s="10">
        <v>24436.070533927545</v>
      </c>
      <c r="W94" s="10">
        <v>-3479.286612538469</v>
      </c>
      <c r="X94" s="10">
        <v>8922.689669653113</v>
      </c>
      <c r="Y94" s="10">
        <v>0</v>
      </c>
      <c r="Z94" s="10">
        <v>8951.18702953098</v>
      </c>
      <c r="AB94" s="10">
        <v>47619.28702985436</v>
      </c>
      <c r="AC94" s="10">
        <v>30280.871411638</v>
      </c>
      <c r="AD94" s="10">
        <v>77900.15844149236</v>
      </c>
      <c r="AE94" s="10"/>
      <c r="AF94" s="10">
        <v>69869.43522492623</v>
      </c>
      <c r="AG94" s="10">
        <v>71799.05857680652</v>
      </c>
      <c r="AH94" s="10">
        <v>70782.65701584975</v>
      </c>
      <c r="AI94" s="10">
        <v>77900.15844149236</v>
      </c>
      <c r="AJ94" s="10">
        <v>77900.15844149236</v>
      </c>
      <c r="AK94" s="10"/>
      <c r="AL94" s="10">
        <v>70553.72462327778</v>
      </c>
      <c r="AM94" s="10">
        <v>74260.215</v>
      </c>
      <c r="AN94" s="10">
        <v>71408.405</v>
      </c>
      <c r="AO94" s="10" t="s">
        <v>62</v>
      </c>
      <c r="AP94" s="10">
        <v>-1653.2713550929038</v>
      </c>
      <c r="AQ94" s="10">
        <v>0</v>
      </c>
      <c r="AR94" s="10">
        <v>0</v>
      </c>
      <c r="AS94" s="10">
        <v>0</v>
      </c>
      <c r="AT94" s="10">
        <v>0</v>
      </c>
      <c r="AU94" s="10"/>
      <c r="AV94" s="10">
        <v>68216.16386983333</v>
      </c>
      <c r="AW94" s="10">
        <v>68216</v>
      </c>
      <c r="AX94" s="10">
        <v>74260.215</v>
      </c>
      <c r="AY94" s="10">
        <v>72019</v>
      </c>
      <c r="AZ94" s="10">
        <v>77900.15844149236</v>
      </c>
      <c r="BA94" s="10">
        <v>77900.15844149236</v>
      </c>
      <c r="BB94" s="10">
        <v>77900.15844149236</v>
      </c>
      <c r="BD94" s="9">
        <v>7151</v>
      </c>
      <c r="BE94" s="13">
        <v>6.85830355180486</v>
      </c>
      <c r="BF94" s="13">
        <v>49043.728698956555</v>
      </c>
      <c r="BG94" s="14">
        <v>0.005770877004289563</v>
      </c>
      <c r="BM94" s="4">
        <v>116</v>
      </c>
      <c r="BN94" s="4">
        <v>28.333333333333343</v>
      </c>
      <c r="BO94" s="10">
        <v>63520</v>
      </c>
      <c r="BP94" s="10">
        <v>7888.404999999999</v>
      </c>
      <c r="BQ94" s="14">
        <v>0.08860145143458413</v>
      </c>
      <c r="BR94" s="14">
        <v>-0.04537205081669697</v>
      </c>
      <c r="BS94" s="7">
        <v>0.049016063870706006</v>
      </c>
      <c r="BU94" s="10">
        <v>72019</v>
      </c>
      <c r="BZ94" s="105">
        <f t="shared" si="5"/>
        <v>77900.15844149236</v>
      </c>
      <c r="CA94" s="106">
        <f t="shared" si="3"/>
        <v>0.0817</v>
      </c>
    </row>
    <row r="95" spans="1:79" ht="30" hidden="1">
      <c r="A95" s="2" t="s">
        <v>224</v>
      </c>
      <c r="B95" s="3" t="s">
        <v>216</v>
      </c>
      <c r="C95" s="19"/>
      <c r="D95" s="23"/>
      <c r="E95" s="19">
        <v>1</v>
      </c>
      <c r="F95" s="23"/>
      <c r="G95" s="19"/>
      <c r="H95" s="18"/>
      <c r="I95" s="18"/>
      <c r="J95" s="18"/>
      <c r="L95" s="4">
        <v>72.33333333333333</v>
      </c>
      <c r="M95" s="3" t="s">
        <v>225</v>
      </c>
      <c r="O95" s="5">
        <v>0.3333333333333333</v>
      </c>
      <c r="P95" s="6">
        <v>0.0030128649332650426</v>
      </c>
      <c r="Q95" s="10">
        <v>376.74468289766355</v>
      </c>
      <c r="R95" s="10">
        <v>1762.0288632460613</v>
      </c>
      <c r="T95" s="10">
        <v>0</v>
      </c>
      <c r="U95" s="10">
        <v>4147.257590071019</v>
      </c>
      <c r="V95" s="10">
        <v>12218.035266963772</v>
      </c>
      <c r="W95" s="10">
        <v>-787.6666042922137</v>
      </c>
      <c r="X95" s="10">
        <v>4461.3448348265565</v>
      </c>
      <c r="Y95" s="10">
        <v>0</v>
      </c>
      <c r="Z95" s="10">
        <v>0</v>
      </c>
      <c r="AB95" s="10">
        <v>11088.872316856428</v>
      </c>
      <c r="AC95" s="10">
        <v>24984.597324431354</v>
      </c>
      <c r="AD95" s="10">
        <v>36073.46964128778</v>
      </c>
      <c r="AE95" s="10"/>
      <c r="AF95" s="10">
        <v>35433.52465271865</v>
      </c>
      <c r="AG95" s="10">
        <v>36254.570356103344</v>
      </c>
      <c r="AH95" s="10">
        <v>34291.02614388363</v>
      </c>
      <c r="AI95" s="10">
        <v>36073.46964128778</v>
      </c>
      <c r="AJ95" s="10">
        <v>36073.46964128778</v>
      </c>
      <c r="AK95" s="10"/>
      <c r="AL95" s="10">
        <v>43486.34686666667</v>
      </c>
      <c r="AM95" s="10">
        <v>43320.96</v>
      </c>
      <c r="AN95" s="10">
        <v>42601.986666666664</v>
      </c>
      <c r="AO95" s="10" t="s">
        <v>54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/>
      <c r="AV95" s="10">
        <v>42628.880600000004</v>
      </c>
      <c r="AW95" s="10">
        <v>42629</v>
      </c>
      <c r="AX95" s="10">
        <v>43320.96</v>
      </c>
      <c r="AY95" s="10">
        <v>39473</v>
      </c>
      <c r="AZ95" s="10">
        <v>43320.96</v>
      </c>
      <c r="BA95" s="10">
        <v>42601.986666666664</v>
      </c>
      <c r="BB95" s="10">
        <v>42601.986666666664</v>
      </c>
      <c r="BD95" s="9">
        <v>2950</v>
      </c>
      <c r="BE95" s="13">
        <v>11.206</v>
      </c>
      <c r="BF95" s="13">
        <v>33057.7</v>
      </c>
      <c r="BG95" s="14">
        <v>0.003889833130668181</v>
      </c>
      <c r="BM95" s="4">
        <v>96</v>
      </c>
      <c r="BN95" s="4">
        <v>23.66666666666667</v>
      </c>
      <c r="BO95" s="10">
        <v>41866</v>
      </c>
      <c r="BP95" s="10">
        <v>735.986666666664</v>
      </c>
      <c r="BQ95" s="14">
        <v>0.016234988821170103</v>
      </c>
      <c r="BR95" s="14">
        <v>-0.1902985074626866</v>
      </c>
      <c r="BS95" s="7">
        <v>0</v>
      </c>
      <c r="BU95" s="10">
        <v>39473</v>
      </c>
      <c r="BZ95" s="105">
        <f t="shared" si="5"/>
        <v>43320.96</v>
      </c>
      <c r="CA95" s="106">
        <f t="shared" si="3"/>
        <v>0.0975</v>
      </c>
    </row>
    <row r="96" spans="1:79" ht="15" hidden="1">
      <c r="A96" s="2" t="s">
        <v>226</v>
      </c>
      <c r="B96" s="3" t="s">
        <v>216</v>
      </c>
      <c r="C96" s="19">
        <v>1</v>
      </c>
      <c r="D96" s="23">
        <v>0</v>
      </c>
      <c r="E96" s="19">
        <v>0</v>
      </c>
      <c r="F96" s="23">
        <v>1</v>
      </c>
      <c r="G96" s="19">
        <v>1</v>
      </c>
      <c r="H96" s="18"/>
      <c r="I96" s="18"/>
      <c r="J96" s="18"/>
      <c r="L96" s="4">
        <v>155.33333333333334</v>
      </c>
      <c r="M96" s="3" t="s">
        <v>227</v>
      </c>
      <c r="O96" s="5">
        <v>1.05</v>
      </c>
      <c r="P96" s="6">
        <v>0.009490524539784885</v>
      </c>
      <c r="Q96" s="10">
        <v>1186.7457511276402</v>
      </c>
      <c r="R96" s="10">
        <v>5550.390919225093</v>
      </c>
      <c r="T96" s="10">
        <v>39558.30407441861</v>
      </c>
      <c r="U96" s="10">
        <v>4147.257590071019</v>
      </c>
      <c r="V96" s="10">
        <v>12218.035266963772</v>
      </c>
      <c r="W96" s="10">
        <v>-2691.6200082462556</v>
      </c>
      <c r="X96" s="10">
        <v>13384.034504479667</v>
      </c>
      <c r="Y96" s="10">
        <v>-3654</v>
      </c>
      <c r="Z96" s="10">
        <v>8951.18702953098</v>
      </c>
      <c r="AB96" s="10">
        <v>39325.16756378526</v>
      </c>
      <c r="AC96" s="10">
        <v>53653.55923126734</v>
      </c>
      <c r="AD96" s="10">
        <v>92978.7267950526</v>
      </c>
      <c r="AE96" s="10"/>
      <c r="AF96" s="10">
        <v>66480.61581160915</v>
      </c>
      <c r="AG96" s="10">
        <v>92119.50595840122</v>
      </c>
      <c r="AH96" s="10">
        <v>95338.44807228979</v>
      </c>
      <c r="AI96" s="10">
        <v>92978.7267950526</v>
      </c>
      <c r="AJ96" s="10">
        <v>92978.7267950526</v>
      </c>
      <c r="AK96" s="10"/>
      <c r="AL96" s="10">
        <v>82814.92472916667</v>
      </c>
      <c r="AM96" s="10">
        <v>95267.62413455907</v>
      </c>
      <c r="AN96" s="10">
        <v>91605.54137818636</v>
      </c>
      <c r="AO96" s="10" t="s">
        <v>54</v>
      </c>
      <c r="AP96" s="10">
        <v>-1572.5716241091577</v>
      </c>
      <c r="AQ96" s="10">
        <v>-607.3499917549343</v>
      </c>
      <c r="AR96" s="10">
        <v>0</v>
      </c>
      <c r="AS96" s="10">
        <v>0</v>
      </c>
      <c r="AT96" s="10">
        <v>0</v>
      </c>
      <c r="AU96" s="10"/>
      <c r="AV96" s="10">
        <v>64908.044187499996</v>
      </c>
      <c r="AW96" s="10">
        <v>88088</v>
      </c>
      <c r="AX96" s="10">
        <v>95267.62413455907</v>
      </c>
      <c r="AY96" s="10">
        <v>94372</v>
      </c>
      <c r="AZ96" s="10">
        <v>95267.62413455907</v>
      </c>
      <c r="BA96" s="10">
        <v>92978.7267950526</v>
      </c>
      <c r="BB96" s="10">
        <v>92978.7267950526</v>
      </c>
      <c r="BD96" s="9">
        <v>5767</v>
      </c>
      <c r="BE96" s="13">
        <v>14.002844548300278</v>
      </c>
      <c r="BF96" s="13">
        <v>80754.4045100477</v>
      </c>
      <c r="BG96" s="14">
        <v>0.009502208505448459</v>
      </c>
      <c r="BM96" s="4">
        <v>106</v>
      </c>
      <c r="BN96" s="4">
        <v>-49.33333333333334</v>
      </c>
      <c r="BO96" s="10">
        <v>60050</v>
      </c>
      <c r="BP96" s="10">
        <v>31555.54137818636</v>
      </c>
      <c r="BQ96" s="14">
        <v>0.46773216366463444</v>
      </c>
      <c r="BR96" s="14">
        <v>0.5080906148867315</v>
      </c>
      <c r="BS96" s="7">
        <v>0</v>
      </c>
      <c r="BU96" s="10">
        <v>94372</v>
      </c>
      <c r="BZ96" s="105">
        <f t="shared" si="5"/>
        <v>95267.62413455907</v>
      </c>
      <c r="CA96" s="106">
        <f t="shared" si="3"/>
        <v>0.0095</v>
      </c>
    </row>
    <row r="97" spans="1:79" ht="15" hidden="1">
      <c r="A97" s="2" t="s">
        <v>228</v>
      </c>
      <c r="B97" s="3" t="s">
        <v>216</v>
      </c>
      <c r="C97" s="19">
        <v>1</v>
      </c>
      <c r="D97" s="23"/>
      <c r="E97" s="19"/>
      <c r="F97" s="23"/>
      <c r="G97" s="19"/>
      <c r="H97" s="18"/>
      <c r="I97" s="18"/>
      <c r="J97" s="18"/>
      <c r="L97" s="4">
        <v>105</v>
      </c>
      <c r="M97" s="3" t="s">
        <v>229</v>
      </c>
      <c r="O97" s="5">
        <v>1</v>
      </c>
      <c r="P97" s="6">
        <v>0.009038594799795128</v>
      </c>
      <c r="Q97" s="10">
        <v>1130.2340486929907</v>
      </c>
      <c r="R97" s="10">
        <v>5286.086589738184</v>
      </c>
      <c r="T97" s="10">
        <v>39558.30407441861</v>
      </c>
      <c r="U97" s="10">
        <v>4147.257590071019</v>
      </c>
      <c r="V97" s="10">
        <v>12218.035266963772</v>
      </c>
      <c r="W97" s="10">
        <v>-2691.6200082462556</v>
      </c>
      <c r="X97" s="10">
        <v>4461.3448348265565</v>
      </c>
      <c r="Y97" s="10">
        <v>0</v>
      </c>
      <c r="Z97" s="10">
        <v>8951.18702953098</v>
      </c>
      <c r="AB97" s="10">
        <v>36530.41471299793</v>
      </c>
      <c r="AC97" s="10">
        <v>36267.963858045514</v>
      </c>
      <c r="AD97" s="10">
        <v>72798.37857104345</v>
      </c>
      <c r="AE97" s="10"/>
      <c r="AF97" s="10">
        <v>65320.00119423077</v>
      </c>
      <c r="AG97" s="10">
        <v>66144.21762396446</v>
      </c>
      <c r="AH97" s="10">
        <v>66470.75714730626</v>
      </c>
      <c r="AI97" s="10">
        <v>72798.37857104345</v>
      </c>
      <c r="AJ97" s="10">
        <v>72798.37857104345</v>
      </c>
      <c r="AK97" s="10"/>
      <c r="AL97" s="10">
        <v>54323.175029833335</v>
      </c>
      <c r="AM97" s="10">
        <v>56486.340000000004</v>
      </c>
      <c r="AN97" s="10">
        <v>54341.78</v>
      </c>
      <c r="AO97" s="10" t="s">
        <v>62</v>
      </c>
      <c r="AP97" s="10">
        <v>-12070.196104730763</v>
      </c>
      <c r="AQ97" s="10">
        <v>-12855.70762396446</v>
      </c>
      <c r="AR97" s="10">
        <v>-12922.858171043437</v>
      </c>
      <c r="AS97" s="10">
        <v>-5478.441948202846</v>
      </c>
      <c r="AT97" s="10">
        <v>-1775.8454339466116</v>
      </c>
      <c r="AU97" s="10"/>
      <c r="AV97" s="10">
        <v>53249.805089500005</v>
      </c>
      <c r="AW97" s="10">
        <v>53250</v>
      </c>
      <c r="AX97" s="10">
        <v>56486.340000000004</v>
      </c>
      <c r="AY97" s="10">
        <v>47000</v>
      </c>
      <c r="AZ97" s="10">
        <v>59875.52040000001</v>
      </c>
      <c r="BA97" s="10">
        <v>67319.9366228406</v>
      </c>
      <c r="BB97" s="10">
        <v>71022.53313709683</v>
      </c>
      <c r="BD97" s="9">
        <v>5426</v>
      </c>
      <c r="BE97" s="13">
        <v>9.562916652429816</v>
      </c>
      <c r="BF97" s="13">
        <v>51888.385756084186</v>
      </c>
      <c r="BG97" s="14">
        <v>0.006105602083959477</v>
      </c>
      <c r="BM97" s="4">
        <v>113</v>
      </c>
      <c r="BN97" s="4">
        <v>8</v>
      </c>
      <c r="BO97" s="10">
        <v>47617</v>
      </c>
      <c r="BP97" s="10">
        <v>6724.779999999999</v>
      </c>
      <c r="BQ97" s="14">
        <v>0.06078022079254879</v>
      </c>
      <c r="BR97" s="14">
        <v>-0.007874015748031584</v>
      </c>
      <c r="BS97" s="7">
        <v>0.06000000000000008</v>
      </c>
      <c r="BU97" s="10">
        <v>47000</v>
      </c>
      <c r="BZ97" s="105">
        <f t="shared" si="5"/>
        <v>59875.52040000001</v>
      </c>
      <c r="CA97" s="106">
        <f t="shared" si="3"/>
        <v>0.2739</v>
      </c>
    </row>
    <row r="98" spans="1:79" ht="15" hidden="1">
      <c r="A98" s="2" t="s">
        <v>230</v>
      </c>
      <c r="B98" s="3" t="s">
        <v>216</v>
      </c>
      <c r="C98" s="19">
        <v>1</v>
      </c>
      <c r="D98" s="23"/>
      <c r="E98" s="19"/>
      <c r="F98" s="23"/>
      <c r="G98" s="19">
        <v>1</v>
      </c>
      <c r="H98" s="18"/>
      <c r="I98" s="18"/>
      <c r="J98" s="18"/>
      <c r="L98" s="4">
        <v>52.66666666666667</v>
      </c>
      <c r="M98" s="3" t="s">
        <v>231</v>
      </c>
      <c r="O98" s="5">
        <v>1.05</v>
      </c>
      <c r="P98" s="6">
        <v>0.009490524539784885</v>
      </c>
      <c r="Q98" s="10">
        <v>1186.7457511276402</v>
      </c>
      <c r="R98" s="10">
        <v>5550.390919225093</v>
      </c>
      <c r="T98" s="10">
        <v>39558.30407441861</v>
      </c>
      <c r="U98" s="10">
        <v>4147.257590071019</v>
      </c>
      <c r="V98" s="10">
        <v>12218.035266963772</v>
      </c>
      <c r="W98" s="10">
        <v>-2691.6200082462556</v>
      </c>
      <c r="X98" s="10">
        <v>8922.689669653113</v>
      </c>
      <c r="Y98" s="10">
        <v>0</v>
      </c>
      <c r="Z98" s="10">
        <v>8951.18702953098</v>
      </c>
      <c r="AB98" s="10">
        <v>38921.495146371984</v>
      </c>
      <c r="AC98" s="10">
        <v>18191.550125622834</v>
      </c>
      <c r="AD98" s="10">
        <v>57113.04527199482</v>
      </c>
      <c r="AE98" s="10"/>
      <c r="AF98" s="10">
        <v>54027.82243399262</v>
      </c>
      <c r="AG98" s="10">
        <v>56197.7359666819</v>
      </c>
      <c r="AH98" s="10">
        <v>54089.078561225106</v>
      </c>
      <c r="AI98" s="10">
        <v>57113.04527199482</v>
      </c>
      <c r="AJ98" s="10">
        <v>57113.04527199482</v>
      </c>
      <c r="AK98" s="10"/>
      <c r="AL98" s="10">
        <v>43083.81786555555</v>
      </c>
      <c r="AM98" s="10">
        <v>43496.04</v>
      </c>
      <c r="AN98" s="10">
        <v>41225.013333333336</v>
      </c>
      <c r="AO98" s="10" t="s">
        <v>62</v>
      </c>
      <c r="AP98" s="10">
        <v>-14882.828837325957</v>
      </c>
      <c r="AQ98" s="10">
        <v>-15163.551966681902</v>
      </c>
      <c r="AR98" s="10">
        <v>-11007.242871994822</v>
      </c>
      <c r="AS98" s="10">
        <v>-6042.482532317197</v>
      </c>
      <c r="AT98" s="10">
        <v>-3233.6015816349245</v>
      </c>
      <c r="AU98" s="10"/>
      <c r="AV98" s="10">
        <v>39144.99359666666</v>
      </c>
      <c r="AW98" s="10">
        <v>39145</v>
      </c>
      <c r="AX98" s="10">
        <v>43496.04</v>
      </c>
      <c r="AY98" s="10">
        <v>40920</v>
      </c>
      <c r="AZ98" s="10">
        <v>46105.8024</v>
      </c>
      <c r="BA98" s="10">
        <v>51070.562739677625</v>
      </c>
      <c r="BB98" s="10">
        <v>53879.4436903599</v>
      </c>
      <c r="BD98" s="9">
        <v>2849</v>
      </c>
      <c r="BE98" s="13">
        <v>16.011502467469022</v>
      </c>
      <c r="BF98" s="13">
        <v>45616.770529819245</v>
      </c>
      <c r="BG98" s="14">
        <v>0.005367633722883892</v>
      </c>
      <c r="BM98" s="4">
        <v>91</v>
      </c>
      <c r="BN98" s="4">
        <v>38.33333333333333</v>
      </c>
      <c r="BO98" s="10">
        <v>35796</v>
      </c>
      <c r="BP98" s="10">
        <v>5429.013333333336</v>
      </c>
      <c r="BQ98" s="14">
        <v>0.11115205301001374</v>
      </c>
      <c r="BR98" s="14">
        <v>-0.1413043478260868</v>
      </c>
      <c r="BS98" s="7">
        <v>0.05999999999999999</v>
      </c>
      <c r="BU98" s="10">
        <v>40920</v>
      </c>
      <c r="BZ98" s="105">
        <f t="shared" si="5"/>
        <v>46105.8024</v>
      </c>
      <c r="CA98" s="106">
        <f t="shared" si="3"/>
        <v>0.1267</v>
      </c>
    </row>
    <row r="99" spans="1:79" ht="15" hidden="1">
      <c r="A99" s="2" t="s">
        <v>232</v>
      </c>
      <c r="B99" s="3" t="s">
        <v>216</v>
      </c>
      <c r="C99" s="19">
        <v>1</v>
      </c>
      <c r="D99" s="23"/>
      <c r="E99" s="19"/>
      <c r="F99" s="23"/>
      <c r="G99" s="19">
        <v>1</v>
      </c>
      <c r="H99" s="18"/>
      <c r="I99" s="18"/>
      <c r="J99" s="18"/>
      <c r="L99" s="4">
        <v>102.66666666666666</v>
      </c>
      <c r="M99" s="3" t="s">
        <v>233</v>
      </c>
      <c r="O99" s="5">
        <v>1.05</v>
      </c>
      <c r="P99" s="6">
        <v>0.009490524539784885</v>
      </c>
      <c r="Q99" s="10">
        <v>1186.7457511276402</v>
      </c>
      <c r="R99" s="10">
        <v>5550.390919225093</v>
      </c>
      <c r="T99" s="10">
        <v>39558.30407441861</v>
      </c>
      <c r="U99" s="10">
        <v>4147.257590071019</v>
      </c>
      <c r="V99" s="10">
        <v>12218.035266963772</v>
      </c>
      <c r="W99" s="10">
        <v>-2691.6200082462556</v>
      </c>
      <c r="X99" s="10">
        <v>8922.689669653113</v>
      </c>
      <c r="Y99" s="10">
        <v>0</v>
      </c>
      <c r="Z99" s="10">
        <v>8951.18702953098</v>
      </c>
      <c r="AB99" s="10">
        <v>38921.495146371984</v>
      </c>
      <c r="AC99" s="10">
        <v>35462.0091056445</v>
      </c>
      <c r="AD99" s="10">
        <v>74383.50425201649</v>
      </c>
      <c r="AE99" s="10"/>
      <c r="AF99" s="10">
        <v>73140.53427746988</v>
      </c>
      <c r="AG99" s="10">
        <v>75301.05062371475</v>
      </c>
      <c r="AH99" s="10">
        <v>74957.4007562836</v>
      </c>
      <c r="AI99" s="10">
        <v>74383.50425201649</v>
      </c>
      <c r="AJ99" s="10">
        <v>74383.50425201649</v>
      </c>
      <c r="AK99" s="10"/>
      <c r="AL99" s="10">
        <v>64986.34328372221</v>
      </c>
      <c r="AM99" s="10">
        <v>74900.83069281315</v>
      </c>
      <c r="AN99" s="10">
        <v>70753.94356427105</v>
      </c>
      <c r="AO99" s="10" t="s">
        <v>62</v>
      </c>
      <c r="AP99" s="10">
        <v>-6507.144426303217</v>
      </c>
      <c r="AQ99" s="10">
        <v>-4572.590623714743</v>
      </c>
      <c r="AR99" s="10">
        <v>0</v>
      </c>
      <c r="AS99" s="10">
        <v>0</v>
      </c>
      <c r="AT99" s="10">
        <v>0</v>
      </c>
      <c r="AU99" s="10"/>
      <c r="AV99" s="10">
        <v>66633.38985116666</v>
      </c>
      <c r="AW99" s="10">
        <v>66633</v>
      </c>
      <c r="AX99" s="10">
        <v>74900.83069281315</v>
      </c>
      <c r="AY99" s="10">
        <v>71577</v>
      </c>
      <c r="AZ99" s="10">
        <v>74900.83069281315</v>
      </c>
      <c r="BA99" s="10">
        <v>74383.50425201649</v>
      </c>
      <c r="BB99" s="10">
        <v>74383.50425201649</v>
      </c>
      <c r="BD99" s="9">
        <v>5790</v>
      </c>
      <c r="BE99" s="13">
        <v>8.738748429265641</v>
      </c>
      <c r="BF99" s="13">
        <v>50597.35340544806</v>
      </c>
      <c r="BG99" s="14">
        <v>0.005953688901546036</v>
      </c>
      <c r="BM99" s="4">
        <v>154</v>
      </c>
      <c r="BN99" s="4">
        <v>51.33333333333334</v>
      </c>
      <c r="BO99" s="10">
        <v>61257</v>
      </c>
      <c r="BP99" s="10">
        <v>9496.943564271045</v>
      </c>
      <c r="BQ99" s="14">
        <v>0.12407354421128455</v>
      </c>
      <c r="BR99" s="14">
        <v>-0.2222222222222223</v>
      </c>
      <c r="BS99" s="7">
        <v>0</v>
      </c>
      <c r="BU99" s="10">
        <v>71577</v>
      </c>
      <c r="BZ99" s="105">
        <f t="shared" si="5"/>
        <v>74900.83069281315</v>
      </c>
      <c r="CA99" s="106">
        <f t="shared" si="3"/>
        <v>0.0464</v>
      </c>
    </row>
    <row r="100" spans="1:79" ht="15" hidden="1">
      <c r="A100" s="2" t="s">
        <v>234</v>
      </c>
      <c r="B100" s="3" t="s">
        <v>216</v>
      </c>
      <c r="C100" s="19">
        <v>1</v>
      </c>
      <c r="D100" s="23">
        <v>1</v>
      </c>
      <c r="E100" s="19"/>
      <c r="F100" s="23"/>
      <c r="G100" s="19"/>
      <c r="H100" s="18"/>
      <c r="I100" s="18"/>
      <c r="J100" s="18"/>
      <c r="L100" s="4">
        <v>222.66666666666669</v>
      </c>
      <c r="M100" s="3" t="s">
        <v>235</v>
      </c>
      <c r="O100" s="5">
        <v>1</v>
      </c>
      <c r="P100" s="6">
        <v>0.009038594799795128</v>
      </c>
      <c r="Q100" s="10">
        <v>1130.2340486929907</v>
      </c>
      <c r="R100" s="10">
        <v>5286.086589738184</v>
      </c>
      <c r="T100" s="10">
        <v>79116.60814883721</v>
      </c>
      <c r="U100" s="10">
        <v>8294.515180142038</v>
      </c>
      <c r="V100" s="10">
        <v>24436.070533927545</v>
      </c>
      <c r="W100" s="10">
        <v>-5383.240016492511</v>
      </c>
      <c r="X100" s="10">
        <v>8922.689669653113</v>
      </c>
      <c r="Y100" s="10">
        <v>-50108</v>
      </c>
      <c r="Z100" s="10">
        <v>8951.18702953098</v>
      </c>
      <c r="AB100" s="10">
        <v>40323.075592014786</v>
      </c>
      <c r="AC100" s="10">
        <v>76911.11065769652</v>
      </c>
      <c r="AD100" s="10">
        <v>117234.18624971132</v>
      </c>
      <c r="AE100" s="10"/>
      <c r="AF100" s="10">
        <v>95785.47184652949</v>
      </c>
      <c r="AG100" s="10">
        <v>104400.76857325474</v>
      </c>
      <c r="AH100" s="10">
        <v>102695.64993438643</v>
      </c>
      <c r="AI100" s="10">
        <v>117234.18624971132</v>
      </c>
      <c r="AJ100" s="10">
        <v>117234.18624971132</v>
      </c>
      <c r="AK100" s="10"/>
      <c r="AL100" s="10">
        <v>108186.5715</v>
      </c>
      <c r="AM100" s="10">
        <v>107969.12999999999</v>
      </c>
      <c r="AN100" s="10">
        <v>103160.37666666666</v>
      </c>
      <c r="AO100" s="10" t="s">
        <v>54</v>
      </c>
      <c r="AP100" s="10">
        <v>0</v>
      </c>
      <c r="AQ100" s="10">
        <v>0</v>
      </c>
      <c r="AR100" s="10">
        <v>-2786.9084497113217</v>
      </c>
      <c r="AS100" s="10">
        <v>0</v>
      </c>
      <c r="AT100" s="10">
        <v>0</v>
      </c>
      <c r="AU100" s="10"/>
      <c r="AV100" s="10">
        <v>97194.42450000001</v>
      </c>
      <c r="AW100" s="10">
        <v>97194</v>
      </c>
      <c r="AX100" s="10">
        <v>107969.12999999999</v>
      </c>
      <c r="AY100" s="10">
        <v>103141</v>
      </c>
      <c r="AZ100" s="10">
        <v>114447.2778</v>
      </c>
      <c r="BA100" s="10">
        <v>117234.18624971132</v>
      </c>
      <c r="BB100" s="10">
        <v>117234.18624971132</v>
      </c>
      <c r="BD100" s="9">
        <v>12357</v>
      </c>
      <c r="BE100" s="13">
        <v>7.9560789978221</v>
      </c>
      <c r="BF100" s="13">
        <v>98313.26817608769</v>
      </c>
      <c r="BG100" s="14">
        <v>0.011568324709087795</v>
      </c>
      <c r="BM100" s="4">
        <v>307</v>
      </c>
      <c r="BN100" s="4">
        <v>84.33333333333331</v>
      </c>
      <c r="BO100" s="10">
        <v>94364</v>
      </c>
      <c r="BP100" s="10">
        <v>8796.376666666663</v>
      </c>
      <c r="BQ100" s="14">
        <v>0.11085723852400588</v>
      </c>
      <c r="BR100" s="14">
        <v>0.14579759862778735</v>
      </c>
      <c r="BS100" s="7">
        <v>0.06000000000000006</v>
      </c>
      <c r="BU100" s="10">
        <v>103141</v>
      </c>
      <c r="BZ100" s="105">
        <f t="shared" si="5"/>
        <v>114447.2778</v>
      </c>
      <c r="CA100" s="106">
        <f t="shared" si="3"/>
        <v>0.1096</v>
      </c>
    </row>
    <row r="101" spans="1:79" ht="30" hidden="1">
      <c r="A101" s="2" t="s">
        <v>236</v>
      </c>
      <c r="B101" s="3" t="s">
        <v>216</v>
      </c>
      <c r="C101" s="19">
        <v>1</v>
      </c>
      <c r="D101" s="23"/>
      <c r="E101" s="19"/>
      <c r="F101" s="23">
        <v>1</v>
      </c>
      <c r="G101" s="19">
        <v>1</v>
      </c>
      <c r="H101" s="18"/>
      <c r="I101" s="18"/>
      <c r="J101" s="18"/>
      <c r="L101" s="4">
        <v>136.33333333333331</v>
      </c>
      <c r="M101" s="3" t="s">
        <v>237</v>
      </c>
      <c r="O101" s="5">
        <v>1.05</v>
      </c>
      <c r="P101" s="6">
        <v>0.009490524539784885</v>
      </c>
      <c r="Q101" s="10">
        <v>1186.7457511276402</v>
      </c>
      <c r="R101" s="10">
        <v>5550.390919225093</v>
      </c>
      <c r="T101" s="10">
        <v>39558.30407441861</v>
      </c>
      <c r="U101" s="10">
        <v>4147.257590071019</v>
      </c>
      <c r="V101" s="10">
        <v>12218.035266963772</v>
      </c>
      <c r="W101" s="10">
        <v>-2691.6200082462556</v>
      </c>
      <c r="X101" s="10">
        <v>13384.034504479667</v>
      </c>
      <c r="Y101" s="10">
        <v>-3654</v>
      </c>
      <c r="Z101" s="10">
        <v>8951.18702953098</v>
      </c>
      <c r="AB101" s="10">
        <v>39325.16756378526</v>
      </c>
      <c r="AC101" s="10">
        <v>47090.784818859094</v>
      </c>
      <c r="AD101" s="10">
        <v>86415.95238264435</v>
      </c>
      <c r="AE101" s="10"/>
      <c r="AF101" s="10">
        <v>79382.28956372965</v>
      </c>
      <c r="AG101" s="10">
        <v>78811.57215943538</v>
      </c>
      <c r="AH101" s="10">
        <v>80584.11110271508</v>
      </c>
      <c r="AI101" s="10">
        <v>86415.95238264435</v>
      </c>
      <c r="AJ101" s="10">
        <v>86415.95238264435</v>
      </c>
      <c r="AK101" s="10"/>
      <c r="AL101" s="10">
        <v>74498.1960413889</v>
      </c>
      <c r="AM101" s="10">
        <v>80522.9382256814</v>
      </c>
      <c r="AN101" s="10">
        <v>78785.3127418938</v>
      </c>
      <c r="AO101" s="10" t="s">
        <v>54</v>
      </c>
      <c r="AP101" s="10">
        <v>-3317.7814395629684</v>
      </c>
      <c r="AQ101" s="10">
        <v>0</v>
      </c>
      <c r="AR101" s="10">
        <v>-1061.63786342206</v>
      </c>
      <c r="AS101" s="10">
        <v>0</v>
      </c>
      <c r="AT101" s="10">
        <v>0</v>
      </c>
      <c r="AU101" s="10"/>
      <c r="AV101" s="10">
        <v>76064.50812416668</v>
      </c>
      <c r="AW101" s="10">
        <v>76065</v>
      </c>
      <c r="AX101" s="10">
        <v>80522.9382256814</v>
      </c>
      <c r="AY101" s="10">
        <v>78719</v>
      </c>
      <c r="AZ101" s="10">
        <v>85354.31451922229</v>
      </c>
      <c r="BA101" s="10">
        <v>86415.95238264435</v>
      </c>
      <c r="BB101" s="10">
        <v>86415.95238264435</v>
      </c>
      <c r="BD101" s="9">
        <v>6670</v>
      </c>
      <c r="BE101" s="13">
        <v>6.5383401228509115</v>
      </c>
      <c r="BF101" s="13">
        <v>43610.72861941558</v>
      </c>
      <c r="BG101" s="14">
        <v>0.005131586802360169</v>
      </c>
      <c r="BM101" s="4">
        <v>141</v>
      </c>
      <c r="BN101" s="4">
        <v>4.666666666666686</v>
      </c>
      <c r="BO101" s="10">
        <v>70509</v>
      </c>
      <c r="BP101" s="10">
        <v>8276.312741893795</v>
      </c>
      <c r="BQ101" s="14">
        <v>0.058613803092459886</v>
      </c>
      <c r="BR101" s="14">
        <v>-0.0672748004561006</v>
      </c>
      <c r="BS101" s="7">
        <v>0.06000000000000006</v>
      </c>
      <c r="BU101" s="10">
        <v>78719</v>
      </c>
      <c r="BZ101" s="105">
        <f t="shared" si="5"/>
        <v>85354.31451922229</v>
      </c>
      <c r="CA101" s="106">
        <f t="shared" si="3"/>
        <v>0.0843</v>
      </c>
    </row>
    <row r="102" spans="1:82" ht="15">
      <c r="A102" s="2" t="s">
        <v>258</v>
      </c>
      <c r="C102" s="19"/>
      <c r="D102" s="23"/>
      <c r="E102" s="19"/>
      <c r="F102" s="23"/>
      <c r="G102" s="19"/>
      <c r="H102" s="18"/>
      <c r="I102" s="18"/>
      <c r="J102" s="18"/>
      <c r="L102" s="4"/>
      <c r="O102" s="5"/>
      <c r="P102" s="6"/>
      <c r="Q102" s="10"/>
      <c r="R102" s="10"/>
      <c r="T102" s="10"/>
      <c r="U102" s="10"/>
      <c r="V102" s="10"/>
      <c r="W102" s="10"/>
      <c r="X102" s="10"/>
      <c r="Y102" s="10"/>
      <c r="Z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36"/>
      <c r="AZ102" s="10"/>
      <c r="BA102" s="10"/>
      <c r="BB102" s="10"/>
      <c r="BD102" s="9"/>
      <c r="BE102" s="13"/>
      <c r="BF102" s="13"/>
      <c r="BG102" s="14"/>
      <c r="BM102" s="4"/>
      <c r="BN102" s="4"/>
      <c r="BO102" s="10"/>
      <c r="BP102" s="10"/>
      <c r="BQ102" s="14"/>
      <c r="BR102" s="14"/>
      <c r="BS102" s="7"/>
      <c r="BU102" s="103">
        <v>590</v>
      </c>
      <c r="BZ102" s="105"/>
      <c r="CA102" s="106"/>
      <c r="CC102" s="10"/>
      <c r="CD102" s="101"/>
    </row>
    <row r="103" spans="1:82" ht="15.75" thickBot="1">
      <c r="A103" s="2" t="s">
        <v>256</v>
      </c>
      <c r="C103" s="17"/>
      <c r="D103" s="22"/>
      <c r="E103" s="18"/>
      <c r="F103" s="22"/>
      <c r="G103" s="18"/>
      <c r="H103" s="18"/>
      <c r="I103" s="18"/>
      <c r="J103" s="18"/>
      <c r="L103" s="4"/>
      <c r="O103" s="5"/>
      <c r="P103" s="6"/>
      <c r="Q103" s="137"/>
      <c r="R103" s="10"/>
      <c r="T103" s="10"/>
      <c r="U103" s="10"/>
      <c r="V103" s="10"/>
      <c r="W103" s="10"/>
      <c r="X103" s="10"/>
      <c r="Y103" s="10"/>
      <c r="Z103" s="10"/>
      <c r="AE103" s="10"/>
      <c r="AF103" s="10"/>
      <c r="AG103" s="10"/>
      <c r="AK103" s="10"/>
      <c r="AL103" s="10"/>
      <c r="AM103" s="10"/>
      <c r="AP103" s="10"/>
      <c r="AQ103" s="10"/>
      <c r="AV103" s="10"/>
      <c r="AW103" s="10"/>
      <c r="AX103" s="10"/>
      <c r="AY103" s="99">
        <f>SUM(AY61:AY72)+AY102</f>
        <v>608447</v>
      </c>
      <c r="AZ103" s="99">
        <f>SUM(AZ61:AZ72)+AZ102</f>
        <v>669385.4938715774</v>
      </c>
      <c r="BA103" s="99">
        <f>SUM(BA61:BA72)+BA102</f>
        <v>718691.5063253362</v>
      </c>
      <c r="BB103" s="99">
        <f>SUM(BB61:BB72)+BB102</f>
        <v>739114.1836970581</v>
      </c>
      <c r="BD103" s="9"/>
      <c r="BM103" s="4"/>
      <c r="BN103" s="4"/>
      <c r="BU103" s="99">
        <f>SUM(BU61:BU72)+BU102</f>
        <v>600795</v>
      </c>
      <c r="BV103" s="99">
        <f>SUM(BV61:BV101)+BV102</f>
        <v>18063</v>
      </c>
      <c r="BW103" s="110">
        <f>SUM(BW61:BW102)+BW102</f>
        <v>0.9999999999999999</v>
      </c>
      <c r="BX103" s="99">
        <f>SUM(BX61:BX72)+BX102</f>
        <v>653502.997775709</v>
      </c>
      <c r="BY103" s="7"/>
      <c r="BZ103" s="104">
        <f>SUM(BZ61:BZ72)</f>
        <v>628502.997775709</v>
      </c>
      <c r="CA103" s="107">
        <f>(BZ103-BU103)/BU103</f>
        <v>0.046118888765234435</v>
      </c>
      <c r="CC103" s="99">
        <v>25000</v>
      </c>
      <c r="CD103" s="110">
        <f>SUM(CD61:CD72)+CD102</f>
        <v>1</v>
      </c>
    </row>
    <row r="104" spans="3:82" ht="15">
      <c r="C104" s="17"/>
      <c r="D104" s="22"/>
      <c r="E104" s="18"/>
      <c r="F104" s="22"/>
      <c r="G104" s="18"/>
      <c r="H104" s="18"/>
      <c r="I104" s="18"/>
      <c r="J104" s="18"/>
      <c r="L104" s="4"/>
      <c r="O104" s="5"/>
      <c r="P104" s="6"/>
      <c r="Q104" s="137"/>
      <c r="R104" s="10"/>
      <c r="T104" s="10"/>
      <c r="U104" s="10"/>
      <c r="V104" s="10"/>
      <c r="W104" s="10"/>
      <c r="X104" s="10"/>
      <c r="Y104" s="10"/>
      <c r="Z104" s="10"/>
      <c r="AE104" s="10"/>
      <c r="AF104" s="10"/>
      <c r="AG104" s="10"/>
      <c r="AI104" s="10">
        <f>SUM(AI61:AI72)</f>
        <v>851237.376899112</v>
      </c>
      <c r="AK104" s="10"/>
      <c r="AL104" s="10"/>
      <c r="AM104" s="10"/>
      <c r="AP104" s="10"/>
      <c r="AQ104" s="10"/>
      <c r="AV104" s="10"/>
      <c r="AW104" s="10"/>
      <c r="AX104" s="10"/>
      <c r="AY104" s="85"/>
      <c r="AZ104" s="85"/>
      <c r="BA104" s="85"/>
      <c r="BB104" s="85"/>
      <c r="BD104" s="9"/>
      <c r="BM104" s="4"/>
      <c r="BN104" s="4"/>
      <c r="BU104" s="85"/>
      <c r="BV104" s="85"/>
      <c r="BW104" s="138"/>
      <c r="BX104" s="85"/>
      <c r="BY104" s="7"/>
      <c r="BZ104" s="85"/>
      <c r="CA104" s="139"/>
      <c r="CC104" s="85"/>
      <c r="CD104" s="138"/>
    </row>
    <row r="105" spans="1:82" ht="15">
      <c r="A105" s="140" t="s">
        <v>310</v>
      </c>
      <c r="C105" s="17"/>
      <c r="D105" s="22"/>
      <c r="E105" s="18"/>
      <c r="F105" s="22"/>
      <c r="G105" s="18"/>
      <c r="H105" s="18"/>
      <c r="I105" s="18"/>
      <c r="J105" s="18"/>
      <c r="L105" s="4"/>
      <c r="O105" s="5"/>
      <c r="P105" s="6"/>
      <c r="Q105" s="137"/>
      <c r="R105" s="10"/>
      <c r="T105" s="10"/>
      <c r="U105" s="10"/>
      <c r="V105" s="10"/>
      <c r="W105" s="10"/>
      <c r="X105" s="10"/>
      <c r="Y105" s="10"/>
      <c r="Z105" s="10"/>
      <c r="AE105" s="10"/>
      <c r="AF105" s="10"/>
      <c r="AG105" s="10"/>
      <c r="AK105" s="10"/>
      <c r="AL105" s="10"/>
      <c r="AM105" s="10"/>
      <c r="AP105" s="10"/>
      <c r="AQ105" s="10"/>
      <c r="AV105" s="10"/>
      <c r="AW105" s="10"/>
      <c r="AX105" s="10"/>
      <c r="AY105" s="10"/>
      <c r="AZ105" s="85"/>
      <c r="BD105" s="9"/>
      <c r="BM105" s="4"/>
      <c r="BN105" s="4"/>
      <c r="BU105" s="85"/>
      <c r="BV105" s="85"/>
      <c r="BW105" s="138"/>
      <c r="BX105" s="138"/>
      <c r="BY105" s="7"/>
      <c r="BZ105" s="85"/>
      <c r="CA105" s="139"/>
      <c r="CC105" s="85"/>
      <c r="CD105" s="138"/>
    </row>
    <row r="106" spans="1:82" ht="15">
      <c r="A106" s="2" t="str">
        <f>'2019 Summary'!B3</f>
        <v>Abenhall with Mitchledean</v>
      </c>
      <c r="C106" s="163">
        <f>VLOOKUP($A106,$A61:$CD72,3,FALSE)</f>
        <v>1</v>
      </c>
      <c r="D106" s="163">
        <f>VLOOKUP($A106,$A61:$CD72,4,FALSE)</f>
        <v>0</v>
      </c>
      <c r="E106" s="163">
        <f>VLOOKUP($A106,$A61:$CD72,5,FALSE)</f>
        <v>0</v>
      </c>
      <c r="F106" s="163">
        <f>VLOOKUP($A106,$A61:$CD72,6,FALSE)</f>
        <v>0</v>
      </c>
      <c r="G106" s="163">
        <f>VLOOKUP($A106,$A61:$CD72,7,FALSE)</f>
        <v>0</v>
      </c>
      <c r="H106" s="137">
        <f>VLOOKUP($A106,$A61:$CD72,8,FALSE)</f>
        <v>0</v>
      </c>
      <c r="I106" s="137">
        <f>VLOOKUP($A106,$A61:$CD72,9,FALSE)</f>
        <v>0</v>
      </c>
      <c r="J106" s="137">
        <f>VLOOKUP($A106,$A61:$CD72,10,FALSE)</f>
        <v>0</v>
      </c>
      <c r="L106" s="137">
        <f>VLOOKUP($A106,$A61:$CD72,12,FALSE)</f>
        <v>38.333333333333336</v>
      </c>
      <c r="O106" s="141">
        <f>VLOOKUP($A106,$A61:$CD72,15,FALSE)</f>
        <v>1</v>
      </c>
      <c r="P106" s="137">
        <f>VLOOKUP($A106,$A61:$CD72,16,FALSE)</f>
        <v>0.009038594799795128</v>
      </c>
      <c r="Q106" s="137">
        <f>VLOOKUP($A106,$A61:$CD72,17,FALSE)</f>
        <v>1130.2340486929907</v>
      </c>
      <c r="R106" s="137">
        <f>VLOOKUP($A106,$A61:$CD72,18,FALSE)</f>
        <v>5286.086589738184</v>
      </c>
      <c r="T106" s="137">
        <f>VLOOKUP($A106,$A61:$CD72,20,FALSE)</f>
        <v>39558.30407441861</v>
      </c>
      <c r="U106" s="137">
        <f>VLOOKUP($A106,$A61:$CD72,21,FALSE)</f>
        <v>4147.257590071019</v>
      </c>
      <c r="V106" s="137">
        <f>VLOOKUP($A106,$A61:$CD72,22,FALSE)</f>
        <v>12218.035266963772</v>
      </c>
      <c r="W106" s="137">
        <f>VLOOKUP($A106,$A61:$CD72,23,FALSE)</f>
        <v>-2691.6200082462556</v>
      </c>
      <c r="X106" s="137">
        <f>VLOOKUP($A106,$A61:$CD72,24,FALSE)</f>
        <v>4461.3448348265565</v>
      </c>
      <c r="Y106" s="137">
        <f>VLOOKUP($A106,$A61:$CD72,25,FALSE)</f>
        <v>0</v>
      </c>
      <c r="Z106" s="137">
        <f>VLOOKUP($A106,$A61:$CD72,26,FALSE)</f>
        <v>8951.18702953098</v>
      </c>
      <c r="AB106" s="137">
        <f>VLOOKUP($A106,$A61:$CD72,28,FALSE)</f>
        <v>36530.41471299793</v>
      </c>
      <c r="AC106" s="137">
        <f>VLOOKUP($A106,$A61:$CD72,29,FALSE)</f>
        <v>13240.685218016619</v>
      </c>
      <c r="AD106" s="137">
        <f>VLOOKUP($A106,$A61:$CD72,30,FALSE)</f>
        <v>49771.09993101455</v>
      </c>
      <c r="AE106" s="10"/>
      <c r="AF106" s="137">
        <f>VLOOKUP($A106,$A61:$CD72,32,FALSE)</f>
        <v>45843.38695508111</v>
      </c>
      <c r="AG106" s="137">
        <f>VLOOKUP($A106,$A61:$CD72,33,FALSE)</f>
        <v>46059.89330959504</v>
      </c>
      <c r="AH106" s="137">
        <f>VLOOKUP($A106,$A61:$CD72,34,FALSE)</f>
        <v>46605.67174181454</v>
      </c>
      <c r="AI106" s="137">
        <f>VLOOKUP($A106,$A61:$CD72,35,FALSE)</f>
        <v>49771.09993101455</v>
      </c>
      <c r="AJ106" s="137">
        <f>VLOOKUP($A106,$A61:$CD72,36,FALSE)</f>
        <v>49771.09993101455</v>
      </c>
      <c r="AK106" s="10"/>
      <c r="AL106" s="137">
        <f>VLOOKUP($A106,$A61:$CD72,38,FALSE)</f>
        <v>21934.30167694444</v>
      </c>
      <c r="AM106" s="137">
        <f>VLOOKUP($A106,$A61:$CD72,39,FALSE)</f>
        <v>25399.72</v>
      </c>
      <c r="AN106" s="137">
        <f>VLOOKUP($A106,$A61:$CD72,40,FALSE)</f>
        <v>23975.906666666666</v>
      </c>
      <c r="AO106" s="137"/>
      <c r="AP106" s="137">
        <f>VLOOKUP($A106,$A61:$CD72,42,FALSE)</f>
        <v>-23277.82192424777</v>
      </c>
      <c r="AQ106" s="137">
        <f>VLOOKUP($A106,$A61:$CD72,43,FALSE)</f>
        <v>-22097.583309595037</v>
      </c>
      <c r="AR106" s="137">
        <f>VLOOKUP($A106,$A61:$CD72,44,FALSE)</f>
        <v>-22847.396731014545</v>
      </c>
      <c r="AS106" s="137">
        <f>VLOOKUP($A106,$A61:$CD72,45,FALSE)</f>
        <v>-20069.155731263614</v>
      </c>
      <c r="AT106" s="137">
        <f>VLOOKUP($A106,$A61:$CD72,46,FALSE)</f>
        <v>-18435.548800277313</v>
      </c>
      <c r="AU106" s="137">
        <f>VLOOKUP($A106,$A61:$AW72,38,FALSE)</f>
        <v>21934.30167694444</v>
      </c>
      <c r="AV106" s="137">
        <f>VLOOKUP($A106,$A61:$CD72,48,FALSE)</f>
        <v>22565.565030833335</v>
      </c>
      <c r="AW106" s="137">
        <f>VLOOKUP($A106,$A61:$CD72,49,FALSE)</f>
        <v>22566</v>
      </c>
      <c r="AX106" s="137">
        <f>VLOOKUP($A106,$A61:$CD72,50,FALSE)</f>
        <v>25399.72</v>
      </c>
      <c r="AY106" s="137">
        <f>VLOOKUP($A106,$A61:$CD72,51,FALSE)</f>
        <v>24000</v>
      </c>
      <c r="AZ106" s="137">
        <f>VLOOKUP($A106,$A61:$CD72,52,FALSE)</f>
        <v>26923.703200000004</v>
      </c>
      <c r="BA106" s="137">
        <f>VLOOKUP($A106,$A61:$CD72,53,FALSE)</f>
        <v>29701.944199750935</v>
      </c>
      <c r="BB106" s="137">
        <f>VLOOKUP($A106,$A61:$CD72,54,FALSE)</f>
        <v>31335.551130737236</v>
      </c>
      <c r="BD106" s="137">
        <f>VLOOKUP($A106,$A61:$CD72,56,FALSE)</f>
        <v>2548</v>
      </c>
      <c r="BE106" s="141">
        <f>VLOOKUP($A106,$A61:$CD72,57,FALSE)</f>
        <v>9.675580723644032</v>
      </c>
      <c r="BF106" s="137">
        <f>VLOOKUP($A106,$A61:$CD72,58,FALSE)</f>
        <v>24653.379683844993</v>
      </c>
      <c r="BG106" s="143">
        <f>VLOOKUP($A106,$A61:$CD72,59,FALSE)</f>
        <v>0.0029009136472640897</v>
      </c>
      <c r="BM106" s="4"/>
      <c r="BN106" s="4"/>
      <c r="BU106" s="137">
        <f>VLOOKUP($A106,$A61:$CD72,73,FALSE)</f>
        <v>21806</v>
      </c>
      <c r="BV106" s="137">
        <f>VLOOKUP($A106,$A61:$CD72,74,FALSE)</f>
        <v>3071</v>
      </c>
      <c r="BW106" s="144">
        <f>VLOOKUP($A106,$A61:$CD72,75,FALSE)</f>
        <v>0.170016054918895</v>
      </c>
      <c r="BX106" s="137">
        <f>VLOOKUP($A106,$A61:$CD72,76,FALSE)</f>
        <v>26269.359530461883</v>
      </c>
      <c r="BY106" s="7"/>
      <c r="BZ106" s="137">
        <f>VLOOKUP($A106,$A61:$CD72,78,FALSE)</f>
        <v>24431.359530461883</v>
      </c>
      <c r="CA106" s="142">
        <f>VLOOKUP($A106,$A61:$CD72,79,FALSE)</f>
        <v>0.017973313769245124</v>
      </c>
      <c r="CC106" s="137">
        <f>VLOOKUP($A106,$A61:$CD72,81,FALSE)</f>
        <v>1838</v>
      </c>
      <c r="CD106" s="142">
        <f>VLOOKUP($A106,$A61:$CD72,82,FALSE)</f>
        <v>0.07352</v>
      </c>
    </row>
    <row r="107" spans="3:82" ht="15">
      <c r="C107" s="17"/>
      <c r="D107" s="22"/>
      <c r="E107" s="18"/>
      <c r="F107" s="22"/>
      <c r="G107" s="18"/>
      <c r="H107" s="18"/>
      <c r="I107" s="18"/>
      <c r="J107" s="18"/>
      <c r="L107" s="4"/>
      <c r="O107" s="5"/>
      <c r="P107" s="6"/>
      <c r="Q107" s="137"/>
      <c r="R107" s="10"/>
      <c r="T107" s="10"/>
      <c r="U107" s="10"/>
      <c r="V107" s="10"/>
      <c r="W107" s="10"/>
      <c r="X107" s="10"/>
      <c r="Y107" s="10"/>
      <c r="Z107" s="10"/>
      <c r="AE107" s="10"/>
      <c r="AF107" s="10"/>
      <c r="AG107" s="10"/>
      <c r="AK107" s="10"/>
      <c r="AL107" s="10"/>
      <c r="AM107" s="10"/>
      <c r="AP107" s="10"/>
      <c r="AQ107" s="10"/>
      <c r="AV107" s="10"/>
      <c r="AW107" s="10"/>
      <c r="AX107" s="10"/>
      <c r="AY107" s="10"/>
      <c r="AZ107" s="85"/>
      <c r="BD107" s="9"/>
      <c r="BM107" s="4"/>
      <c r="BN107" s="4"/>
      <c r="BU107" s="85"/>
      <c r="BV107" s="85"/>
      <c r="BW107" s="138"/>
      <c r="BX107" s="138"/>
      <c r="BY107" s="7"/>
      <c r="BZ107" s="85"/>
      <c r="CA107" s="139"/>
      <c r="CC107" s="85"/>
      <c r="CD107" s="138"/>
    </row>
    <row r="108" spans="3:66" ht="15">
      <c r="C108" s="17"/>
      <c r="D108" s="22"/>
      <c r="E108" s="18"/>
      <c r="F108" s="22"/>
      <c r="G108" s="18"/>
      <c r="H108" s="18"/>
      <c r="I108" s="18"/>
      <c r="J108" s="18"/>
      <c r="L108" s="4"/>
      <c r="O108" s="5"/>
      <c r="P108" s="6"/>
      <c r="Y108" s="10"/>
      <c r="Z108" s="10"/>
      <c r="AE108" s="10"/>
      <c r="AF108" s="14">
        <v>0.9747289975137751</v>
      </c>
      <c r="AG108" s="14">
        <v>1.015</v>
      </c>
      <c r="AH108" s="14">
        <v>1.035</v>
      </c>
      <c r="AI108" s="14">
        <v>1.02</v>
      </c>
      <c r="AJ108" s="14">
        <v>1.02</v>
      </c>
      <c r="AK108" s="10"/>
      <c r="AL108" s="10"/>
      <c r="AM108" s="10"/>
      <c r="AP108" s="14" t="e">
        <v>#REF!</v>
      </c>
      <c r="AQ108" s="14">
        <v>0.8779436549807746</v>
      </c>
      <c r="AR108" s="14">
        <v>1.0179775299835825</v>
      </c>
      <c r="AS108" s="14">
        <v>0.5429161158859251</v>
      </c>
      <c r="AT108" s="14">
        <v>0.7771737238674791</v>
      </c>
      <c r="AV108" s="14" t="e">
        <v>#REF!</v>
      </c>
      <c r="AW108" s="14"/>
      <c r="AX108" s="14">
        <v>1.1572077967687093</v>
      </c>
      <c r="AY108" s="14"/>
      <c r="AZ108" s="14">
        <v>1.0402878540560503</v>
      </c>
      <c r="BA108" s="14">
        <v>1.0219393503075036</v>
      </c>
      <c r="BB108" s="14">
        <v>1.0156537020968053</v>
      </c>
      <c r="BD108" s="9">
        <v>612051</v>
      </c>
      <c r="BE108" s="13">
        <v>1176.5098889722428</v>
      </c>
      <c r="BF108" s="9">
        <v>8498487.952957887</v>
      </c>
      <c r="BG108" s="14">
        <v>0.9999999999999999</v>
      </c>
      <c r="BM108" s="4"/>
      <c r="BN108" s="4"/>
    </row>
    <row r="109" spans="3:81" ht="15">
      <c r="C109" s="17"/>
      <c r="D109" s="22"/>
      <c r="E109" s="18"/>
      <c r="F109" s="22"/>
      <c r="G109" s="18"/>
      <c r="H109" s="18"/>
      <c r="I109" s="18"/>
      <c r="J109" s="18"/>
      <c r="L109" s="4"/>
      <c r="O109" s="5"/>
      <c r="P109" s="6"/>
      <c r="T109" s="10"/>
      <c r="U109" s="10"/>
      <c r="V109" s="10"/>
      <c r="W109" s="10"/>
      <c r="X109" s="10"/>
      <c r="Y109" s="10"/>
      <c r="Z109" s="10"/>
      <c r="AC109" s="10" t="s">
        <v>238</v>
      </c>
      <c r="AD109" s="10"/>
      <c r="AF109" s="10">
        <v>7088509.23601179</v>
      </c>
      <c r="AG109" s="10">
        <v>7386488.379010585</v>
      </c>
      <c r="AH109" s="10">
        <v>7340950.02375625</v>
      </c>
      <c r="AI109" s="10">
        <v>8225771.207315215</v>
      </c>
      <c r="AJ109" s="10">
        <v>7967897.7695272025</v>
      </c>
      <c r="AK109" s="10"/>
      <c r="AL109" s="10"/>
      <c r="AM109" s="10"/>
      <c r="AO109" s="10"/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V109" s="10">
        <v>6072956.972934077</v>
      </c>
      <c r="AW109" s="10"/>
      <c r="AX109" s="10">
        <v>7027673.158520213</v>
      </c>
      <c r="AY109" s="10">
        <v>6576203</v>
      </c>
      <c r="AZ109" s="10">
        <v>7310803.029084298</v>
      </c>
      <c r="BA109" s="10">
        <v>7471197.297768537</v>
      </c>
      <c r="BB109" s="10">
        <v>7588149.194574262</v>
      </c>
      <c r="BD109" s="9"/>
      <c r="BM109" s="4"/>
      <c r="BN109" s="4"/>
      <c r="CC109" s="10"/>
    </row>
    <row r="110" spans="3:66" ht="15">
      <c r="C110" s="17"/>
      <c r="D110" s="22"/>
      <c r="E110" s="18"/>
      <c r="F110" s="22"/>
      <c r="G110" s="18"/>
      <c r="H110" s="18"/>
      <c r="I110" s="18"/>
      <c r="J110" s="18"/>
      <c r="L110" s="4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10"/>
      <c r="Z110" s="10"/>
      <c r="AC110" s="10" t="s">
        <v>239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/>
      <c r="AL110" s="10"/>
      <c r="AM110" s="10"/>
      <c r="AP110" s="10">
        <v>-1081691.2029329203</v>
      </c>
      <c r="AQ110" s="10">
        <v>-949663.9282634789</v>
      </c>
      <c r="AR110" s="10">
        <v>-966736.5400081623</v>
      </c>
      <c r="AS110" s="10">
        <v>-524856.8473862298</v>
      </c>
      <c r="AT110" s="10">
        <v>-407904.95058050135</v>
      </c>
      <c r="AV110" s="10">
        <v>0</v>
      </c>
      <c r="AW110" s="10"/>
      <c r="AX110" s="10">
        <v>0</v>
      </c>
      <c r="AY110" s="10"/>
      <c r="AZ110" s="10">
        <v>0</v>
      </c>
      <c r="BA110" s="10">
        <v>0</v>
      </c>
      <c r="BB110" s="10">
        <v>0</v>
      </c>
      <c r="BD110" s="8"/>
      <c r="BE110" s="8"/>
      <c r="BF110" s="8"/>
      <c r="BG110" s="8"/>
      <c r="BM110" s="4"/>
      <c r="BN110" s="4"/>
    </row>
    <row r="111" spans="3:66" ht="15">
      <c r="C111" s="17"/>
      <c r="D111" s="22"/>
      <c r="E111" s="18"/>
      <c r="F111" s="22"/>
      <c r="G111" s="18"/>
      <c r="H111" s="18"/>
      <c r="I111" s="18"/>
      <c r="J111" s="18"/>
      <c r="L111" s="4"/>
      <c r="O111" s="5"/>
      <c r="P111" s="6"/>
      <c r="AC111" s="10" t="s">
        <v>240</v>
      </c>
      <c r="AD111" s="10"/>
      <c r="AF111" s="10">
        <v>-738509.2360117901</v>
      </c>
      <c r="AG111" s="10">
        <v>-941238.3790105851</v>
      </c>
      <c r="AH111" s="10">
        <v>-670116.2737562507</v>
      </c>
      <c r="AI111" s="10">
        <v>-1421520.782315216</v>
      </c>
      <c r="AJ111" s="10">
        <v>-1027562.3360272031</v>
      </c>
      <c r="AP111" s="10">
        <v>0</v>
      </c>
      <c r="AQ111" s="10">
        <v>0</v>
      </c>
      <c r="AR111" s="10"/>
      <c r="AS111" s="10">
        <v>0</v>
      </c>
      <c r="AT111" s="10">
        <v>0</v>
      </c>
      <c r="AV111" s="10">
        <v>-277043.02706592344</v>
      </c>
      <c r="AW111" s="10"/>
      <c r="AX111" s="10">
        <v>356839.40852021426</v>
      </c>
      <c r="AY111" s="10"/>
      <c r="AZ111" s="10">
        <v>506552.60408429895</v>
      </c>
      <c r="BA111" s="10">
        <v>666946.8727685381</v>
      </c>
      <c r="BB111" s="10">
        <v>647813.7610742627</v>
      </c>
      <c r="BD111" s="8"/>
      <c r="BE111" s="8"/>
      <c r="BF111" s="8"/>
      <c r="BG111" s="8"/>
      <c r="BM111" s="4"/>
      <c r="BN111" s="4"/>
    </row>
    <row r="112" spans="3:66" ht="15">
      <c r="C112" s="17"/>
      <c r="D112" s="22"/>
      <c r="E112" s="18"/>
      <c r="F112" s="22"/>
      <c r="G112" s="18"/>
      <c r="H112" s="18"/>
      <c r="I112" s="18"/>
      <c r="J112" s="18"/>
      <c r="L112" s="4"/>
      <c r="O112" s="5"/>
      <c r="P112" s="6"/>
      <c r="R112" s="3" t="s">
        <v>241</v>
      </c>
      <c r="V112" s="3" t="s">
        <v>241</v>
      </c>
      <c r="X112" s="3" t="s">
        <v>241</v>
      </c>
      <c r="AN112" s="10"/>
      <c r="AO112" s="10"/>
      <c r="BD112" s="8"/>
      <c r="BE112" s="8"/>
      <c r="BF112" s="8"/>
      <c r="BG112" s="8"/>
      <c r="BM112" s="4"/>
      <c r="BN112" s="4"/>
    </row>
    <row r="113" spans="2:74" ht="15.75" thickBot="1">
      <c r="B113" s="3" t="s">
        <v>242</v>
      </c>
      <c r="C113" s="67">
        <v>103.61999999999999</v>
      </c>
      <c r="D113" s="68">
        <v>18.5</v>
      </c>
      <c r="E113" s="69">
        <v>17</v>
      </c>
      <c r="F113" s="68">
        <v>8</v>
      </c>
      <c r="G113" s="69">
        <v>27</v>
      </c>
      <c r="H113" s="18">
        <v>0</v>
      </c>
      <c r="I113" s="18">
        <v>0</v>
      </c>
      <c r="J113" s="20">
        <v>0</v>
      </c>
      <c r="L113" s="66">
        <v>11828.800000000001</v>
      </c>
      <c r="O113" s="65">
        <v>110.63666666666663</v>
      </c>
      <c r="P113" s="66">
        <v>1</v>
      </c>
      <c r="Q113" s="66">
        <v>125045.32770056347</v>
      </c>
      <c r="R113" s="66">
        <v>584835</v>
      </c>
      <c r="T113" s="61">
        <v>4830860.093568</v>
      </c>
      <c r="U113" s="61">
        <v>576966.4759306802</v>
      </c>
      <c r="V113" s="61">
        <v>1699773.0663400001</v>
      </c>
      <c r="W113" s="61">
        <v>-342090.96768000035</v>
      </c>
      <c r="X113" s="61">
        <v>776809.36264</v>
      </c>
      <c r="Y113" s="61">
        <v>-927522</v>
      </c>
      <c r="Z113" s="61">
        <v>927522.000000001</v>
      </c>
      <c r="AB113" s="61">
        <v>4085776.103657608</v>
      </c>
      <c r="AC113" s="61">
        <v>4085776.1036576065</v>
      </c>
      <c r="AD113" s="61">
        <v>8171552.207315215</v>
      </c>
      <c r="AE113" s="10"/>
      <c r="AF113" s="10">
        <v>6350000</v>
      </c>
      <c r="AG113" s="10">
        <v>6445250</v>
      </c>
      <c r="AH113" s="10">
        <v>6670833.749999999</v>
      </c>
      <c r="AI113" s="61">
        <v>6804250.424999999</v>
      </c>
      <c r="AJ113" s="61">
        <v>6940335.433499999</v>
      </c>
      <c r="AK113" s="61"/>
      <c r="AL113" s="61"/>
      <c r="AM113" s="61"/>
      <c r="AN113" s="61">
        <v>6514631.26284007</v>
      </c>
      <c r="AO113" s="62"/>
      <c r="AP113" s="61">
        <v>-1081691.2029329203</v>
      </c>
      <c r="AQ113" s="61">
        <v>-949663.9282634789</v>
      </c>
      <c r="AR113" s="61">
        <v>-966736.5400081623</v>
      </c>
      <c r="AS113" s="10">
        <v>-524856.8473862298</v>
      </c>
      <c r="AT113" s="10">
        <v>-407904.95058050135</v>
      </c>
      <c r="AV113" s="10">
        <v>6072956.972934077</v>
      </c>
      <c r="AW113" s="10"/>
      <c r="AX113" s="61">
        <v>7027673.158520213</v>
      </c>
      <c r="AY113" s="61">
        <v>6576203</v>
      </c>
      <c r="AZ113" s="61">
        <v>7310803.029084298</v>
      </c>
      <c r="BA113" s="61">
        <v>7471197.297768537</v>
      </c>
      <c r="BB113" s="61">
        <v>7588149.194574262</v>
      </c>
      <c r="BC113" s="62"/>
      <c r="BD113" s="63"/>
      <c r="BE113" s="63"/>
      <c r="BF113" s="63"/>
      <c r="BG113" s="63"/>
      <c r="BH113" s="62"/>
      <c r="BI113" s="62"/>
      <c r="BJ113" s="62"/>
      <c r="BK113" s="62"/>
      <c r="BL113" s="62"/>
      <c r="BM113" s="64"/>
      <c r="BN113" s="64"/>
      <c r="BO113" s="62"/>
      <c r="BP113" s="62"/>
      <c r="BQ113" s="62"/>
      <c r="BR113" s="62"/>
      <c r="BS113" s="62"/>
      <c r="BV113" s="9"/>
    </row>
    <row r="114" spans="3:66" ht="15.75" thickBot="1">
      <c r="C114" s="17"/>
      <c r="D114" s="22"/>
      <c r="E114" s="18"/>
      <c r="F114" s="22"/>
      <c r="G114" s="18"/>
      <c r="H114" s="18"/>
      <c r="I114" s="18"/>
      <c r="J114" s="18"/>
      <c r="L114" s="4"/>
      <c r="O114" s="5"/>
      <c r="P114" s="6"/>
      <c r="AC114" s="188" t="s">
        <v>243</v>
      </c>
      <c r="AD114" s="188"/>
      <c r="AE114" s="188"/>
      <c r="AF114" s="10">
        <v>6350000</v>
      </c>
      <c r="AG114" s="10">
        <v>6445250</v>
      </c>
      <c r="AH114" s="10">
        <v>6670833.749999999</v>
      </c>
      <c r="AI114" s="10">
        <v>6804250.424999999</v>
      </c>
      <c r="AJ114" s="10">
        <v>6940335.433499999</v>
      </c>
      <c r="AV114" s="6">
        <v>-0.06779728154766573</v>
      </c>
      <c r="AW114" s="6"/>
      <c r="AX114" s="6"/>
      <c r="AY114" s="6"/>
      <c r="AZ114" s="6">
        <v>0.04028785405605029</v>
      </c>
      <c r="BA114" s="6">
        <v>0.021939350307503602</v>
      </c>
      <c r="BB114" s="6">
        <v>0.015653702096805278</v>
      </c>
      <c r="BD114" s="8" t="s">
        <v>244</v>
      </c>
      <c r="BE114" s="8"/>
      <c r="BF114" s="8"/>
      <c r="BG114" s="8"/>
      <c r="BM114" s="4"/>
      <c r="BN114" s="4"/>
    </row>
    <row r="115" spans="2:71" ht="15">
      <c r="B115" s="70" t="s">
        <v>245</v>
      </c>
      <c r="C115" s="71"/>
      <c r="D115" s="72"/>
      <c r="E115" s="73"/>
      <c r="F115" s="72"/>
      <c r="G115" s="73"/>
      <c r="H115" s="73"/>
      <c r="I115" s="73"/>
      <c r="J115" s="73"/>
      <c r="K115" s="74"/>
      <c r="L115" s="75"/>
      <c r="M115" s="74"/>
      <c r="N115" s="74"/>
      <c r="O115" s="76"/>
      <c r="P115" s="77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5">
        <v>2017</v>
      </c>
      <c r="BE115" s="75">
        <v>2018</v>
      </c>
      <c r="BF115" s="75">
        <v>2019</v>
      </c>
      <c r="BG115" s="75">
        <v>2020</v>
      </c>
      <c r="BH115" s="77" t="s">
        <v>246</v>
      </c>
      <c r="BI115" s="74"/>
      <c r="BJ115" s="74"/>
      <c r="BK115" s="74"/>
      <c r="BL115" s="74"/>
      <c r="BM115" s="75"/>
      <c r="BN115" s="75"/>
      <c r="BO115" s="74"/>
      <c r="BP115" s="74"/>
      <c r="BQ115" s="74"/>
      <c r="BR115" s="74"/>
      <c r="BS115" s="93"/>
    </row>
    <row r="116" spans="2:71" ht="15">
      <c r="B116" s="78" t="s">
        <v>52</v>
      </c>
      <c r="C116" s="79">
        <v>19.3</v>
      </c>
      <c r="D116" s="80">
        <v>3.5</v>
      </c>
      <c r="E116" s="79">
        <v>0</v>
      </c>
      <c r="F116" s="80">
        <v>0</v>
      </c>
      <c r="G116" s="79">
        <v>4</v>
      </c>
      <c r="H116" s="79">
        <v>0</v>
      </c>
      <c r="I116" s="79">
        <v>0</v>
      </c>
      <c r="J116" s="79">
        <v>0</v>
      </c>
      <c r="K116" s="81"/>
      <c r="L116" s="82">
        <v>2335</v>
      </c>
      <c r="M116" s="82"/>
      <c r="N116" s="82"/>
      <c r="O116" s="83">
        <v>19.5</v>
      </c>
      <c r="P116" s="84">
        <v>0.176252598596005</v>
      </c>
      <c r="Q116" s="85">
        <v>22039.56394951332</v>
      </c>
      <c r="R116" s="85">
        <v>103078.68849989459</v>
      </c>
      <c r="S116" s="85"/>
      <c r="T116" s="85">
        <v>901929.3328967444</v>
      </c>
      <c r="U116" s="85">
        <v>94557.47305361922</v>
      </c>
      <c r="V116" s="85">
        <v>278571.20408677397</v>
      </c>
      <c r="W116" s="85">
        <v>-61368.93618801462</v>
      </c>
      <c r="X116" s="85">
        <v>119564.0415733517</v>
      </c>
      <c r="Y116" s="85">
        <v>-150324</v>
      </c>
      <c r="Z116" s="85">
        <v>172757.90966994793</v>
      </c>
      <c r="AA116" s="85"/>
      <c r="AB116" s="85">
        <v>700079.5631789005</v>
      </c>
      <c r="AC116" s="85">
        <v>806530.4343670121</v>
      </c>
      <c r="AD116" s="85">
        <v>1560828.9975459124</v>
      </c>
      <c r="AE116" s="85"/>
      <c r="AF116" s="85">
        <v>1333362.2700661195</v>
      </c>
      <c r="AG116" s="85">
        <v>1358468.1668113028</v>
      </c>
      <c r="AH116" s="85">
        <v>1346441.89884813</v>
      </c>
      <c r="AI116" s="85">
        <v>1560828.9975459124</v>
      </c>
      <c r="AJ116" s="85">
        <v>1506609.9975459129</v>
      </c>
      <c r="AK116" s="85"/>
      <c r="AL116" s="85"/>
      <c r="AM116" s="85"/>
      <c r="AN116" s="85">
        <v>1250080.1466666665</v>
      </c>
      <c r="AO116" s="85"/>
      <c r="AP116" s="85">
        <v>-148943.14567032008</v>
      </c>
      <c r="AQ116" s="85">
        <v>-116072.56751508567</v>
      </c>
      <c r="AR116" s="85">
        <v>-153203.1879869709</v>
      </c>
      <c r="AS116" s="85">
        <v>-79795.45887660889</v>
      </c>
      <c r="AT116" s="85">
        <v>-56037.242726041055</v>
      </c>
      <c r="AU116" s="85"/>
      <c r="AV116" s="85">
        <v>1191689.6144416295</v>
      </c>
      <c r="AW116" s="85"/>
      <c r="AX116" s="85">
        <v>1355295.44</v>
      </c>
      <c r="AY116" s="85"/>
      <c r="AZ116" s="85">
        <v>1412344.1864</v>
      </c>
      <c r="BA116" s="85">
        <v>1429161.8388122453</v>
      </c>
      <c r="BB116" s="85">
        <v>1452920.054962813</v>
      </c>
      <c r="BC116" s="85"/>
      <c r="BD116" s="84" t="e">
        <v>#REF!</v>
      </c>
      <c r="BE116" s="84" t="e">
        <v>#REF!</v>
      </c>
      <c r="BF116" s="84" t="e">
        <v>#REF!</v>
      </c>
      <c r="BG116" s="84" t="e">
        <v>#REF!</v>
      </c>
      <c r="BH116" s="84" t="e">
        <v>#REF!</v>
      </c>
      <c r="BI116" s="81"/>
      <c r="BJ116" s="81"/>
      <c r="BK116" s="81"/>
      <c r="BL116" s="81"/>
      <c r="BM116" s="86"/>
      <c r="BN116" s="86"/>
      <c r="BO116" s="81"/>
      <c r="BP116" s="81"/>
      <c r="BQ116" s="84">
        <v>-0.04670943089587909</v>
      </c>
      <c r="BR116" s="84">
        <v>0.13728895811098307</v>
      </c>
      <c r="BS116" s="94">
        <v>0.04209321799238119</v>
      </c>
    </row>
    <row r="117" spans="2:71" ht="15">
      <c r="B117" s="78" t="s">
        <v>76</v>
      </c>
      <c r="C117" s="79">
        <v>11</v>
      </c>
      <c r="D117" s="80">
        <v>1</v>
      </c>
      <c r="E117" s="79">
        <v>5</v>
      </c>
      <c r="F117" s="80">
        <v>3</v>
      </c>
      <c r="G117" s="79">
        <v>2</v>
      </c>
      <c r="H117" s="79">
        <v>0</v>
      </c>
      <c r="I117" s="79">
        <v>0</v>
      </c>
      <c r="J117" s="79">
        <v>0</v>
      </c>
      <c r="K117" s="81"/>
      <c r="L117" s="82">
        <v>1453.6999999999998</v>
      </c>
      <c r="M117" s="82"/>
      <c r="N117" s="82"/>
      <c r="O117" s="83">
        <v>12.766666666666666</v>
      </c>
      <c r="P117" s="84">
        <v>0.11539272694405113</v>
      </c>
      <c r="Q117" s="85">
        <v>14429.321354980513</v>
      </c>
      <c r="R117" s="85">
        <v>67485.70546232414</v>
      </c>
      <c r="S117" s="85"/>
      <c r="T117" s="85">
        <v>474699.6488930233</v>
      </c>
      <c r="U117" s="85">
        <v>70503.37903120733</v>
      </c>
      <c r="V117" s="85">
        <v>207706.59953838412</v>
      </c>
      <c r="W117" s="85">
        <v>-36237.77312041613</v>
      </c>
      <c r="X117" s="85">
        <v>98149.58636618424</v>
      </c>
      <c r="Y117" s="85">
        <v>-57416</v>
      </c>
      <c r="Z117" s="85">
        <v>98463.05732484077</v>
      </c>
      <c r="AA117" s="85"/>
      <c r="AB117" s="85">
        <v>468891.76242526417</v>
      </c>
      <c r="AC117" s="85">
        <v>502121.32438515016</v>
      </c>
      <c r="AD117" s="85">
        <v>971013.0868104142</v>
      </c>
      <c r="AE117" s="85"/>
      <c r="AF117" s="85">
        <v>888455.8425788566</v>
      </c>
      <c r="AG117" s="85">
        <v>929675.4591826601</v>
      </c>
      <c r="AH117" s="85">
        <v>908924.3471934493</v>
      </c>
      <c r="AI117" s="85">
        <v>971013.0868104142</v>
      </c>
      <c r="AJ117" s="85">
        <v>971013.0868104142</v>
      </c>
      <c r="AK117" s="85"/>
      <c r="AL117" s="85"/>
      <c r="AM117" s="85"/>
      <c r="AN117" s="85">
        <v>889445.9687781284</v>
      </c>
      <c r="AO117" s="85"/>
      <c r="AP117" s="85">
        <v>-53736.29670915431</v>
      </c>
      <c r="AQ117" s="85">
        <v>-34810.3131754069</v>
      </c>
      <c r="AR117" s="85">
        <v>-14085.992392438635</v>
      </c>
      <c r="AS117" s="85">
        <v>-3338.027927022107</v>
      </c>
      <c r="AT117" s="85">
        <v>0</v>
      </c>
      <c r="AU117" s="85"/>
      <c r="AV117" s="85">
        <v>839662.8349552802</v>
      </c>
      <c r="AW117" s="85"/>
      <c r="AX117" s="85">
        <v>933657.9063343852</v>
      </c>
      <c r="AY117" s="85"/>
      <c r="AZ117" s="85">
        <v>960835.4406313414</v>
      </c>
      <c r="BA117" s="85">
        <v>967675.0588833923</v>
      </c>
      <c r="BB117" s="85">
        <v>971013.0868104142</v>
      </c>
      <c r="BC117" s="85"/>
      <c r="BD117" s="84" t="e">
        <v>#REF!</v>
      </c>
      <c r="BE117" s="84" t="e">
        <v>#REF!</v>
      </c>
      <c r="BF117" s="84" t="e">
        <v>#REF!</v>
      </c>
      <c r="BG117" s="84" t="e">
        <v>#REF!</v>
      </c>
      <c r="BH117" s="84" t="e">
        <v>#REF!</v>
      </c>
      <c r="BI117" s="81"/>
      <c r="BJ117" s="81"/>
      <c r="BK117" s="81"/>
      <c r="BL117" s="81"/>
      <c r="BM117" s="86"/>
      <c r="BN117" s="86"/>
      <c r="BO117" s="81"/>
      <c r="BP117" s="81"/>
      <c r="BQ117" s="84">
        <v>-0.05597094772517497</v>
      </c>
      <c r="BR117" s="84">
        <v>0.11194382729123786</v>
      </c>
      <c r="BS117" s="94">
        <v>0.02910866401127299</v>
      </c>
    </row>
    <row r="118" spans="2:71" ht="15">
      <c r="B118" s="78" t="s">
        <v>93</v>
      </c>
      <c r="C118" s="79">
        <v>8.16</v>
      </c>
      <c r="D118" s="80">
        <v>2</v>
      </c>
      <c r="E118" s="79">
        <v>3</v>
      </c>
      <c r="F118" s="80">
        <v>2</v>
      </c>
      <c r="G118" s="79">
        <v>0</v>
      </c>
      <c r="H118" s="79">
        <v>0</v>
      </c>
      <c r="I118" s="79">
        <v>0</v>
      </c>
      <c r="J118" s="79">
        <v>0</v>
      </c>
      <c r="K118" s="81"/>
      <c r="L118" s="82">
        <v>852.5333333333334</v>
      </c>
      <c r="M118" s="82"/>
      <c r="N118" s="82"/>
      <c r="O118" s="83">
        <v>9.16</v>
      </c>
      <c r="P118" s="84">
        <v>0.08279352836612337</v>
      </c>
      <c r="Q118" s="85">
        <v>10352.943886027795</v>
      </c>
      <c r="R118" s="85">
        <v>48420.55316200176</v>
      </c>
      <c r="S118" s="85"/>
      <c r="T118" s="85">
        <v>401912.36939609307</v>
      </c>
      <c r="U118" s="85">
        <v>54577.90988533461</v>
      </c>
      <c r="V118" s="85">
        <v>160789.34411324322</v>
      </c>
      <c r="W118" s="85">
        <v>-29709.859096658598</v>
      </c>
      <c r="X118" s="85">
        <v>67633.98769597059</v>
      </c>
      <c r="Y118" s="85">
        <v>-107524</v>
      </c>
      <c r="Z118" s="85">
        <v>73041.6861609728</v>
      </c>
      <c r="AA118" s="85"/>
      <c r="AB118" s="85">
        <v>339747.4676014926</v>
      </c>
      <c r="AC118" s="85">
        <v>294472.83924868953</v>
      </c>
      <c r="AD118" s="85">
        <v>634220.3068501822</v>
      </c>
      <c r="AE118" s="85"/>
      <c r="AF118" s="85">
        <v>605521.5699811655</v>
      </c>
      <c r="AG118" s="85">
        <v>624462.3736330979</v>
      </c>
      <c r="AH118" s="85">
        <v>593870.7609346514</v>
      </c>
      <c r="AI118" s="85">
        <v>634220.3068501822</v>
      </c>
      <c r="AJ118" s="85">
        <v>634220.3068501822</v>
      </c>
      <c r="AK118" s="85"/>
      <c r="AL118" s="85"/>
      <c r="AM118" s="85"/>
      <c r="AN118" s="85">
        <v>474277.01266709616</v>
      </c>
      <c r="AO118" s="85"/>
      <c r="AP118" s="85">
        <v>-154961.70736837795</v>
      </c>
      <c r="AQ118" s="85">
        <v>-165114.55378212783</v>
      </c>
      <c r="AR118" s="85">
        <v>-127180.92955557798</v>
      </c>
      <c r="AS118" s="85">
        <v>-89364.42573763581</v>
      </c>
      <c r="AT118" s="85">
        <v>-77823.36045403019</v>
      </c>
      <c r="AU118" s="85"/>
      <c r="AV118" s="85">
        <v>453264.38806550007</v>
      </c>
      <c r="AW118" s="85"/>
      <c r="AX118" s="85">
        <v>489927.40800128854</v>
      </c>
      <c r="AY118" s="85"/>
      <c r="AZ118" s="85">
        <v>515360.6875456095</v>
      </c>
      <c r="BA118" s="85">
        <v>550644.4180302183</v>
      </c>
      <c r="BB118" s="85">
        <v>562185.4833138239</v>
      </c>
      <c r="BC118" s="85"/>
      <c r="BD118" s="84" t="e">
        <v>#REF!</v>
      </c>
      <c r="BE118" s="84" t="e">
        <v>#REF!</v>
      </c>
      <c r="BF118" s="84" t="e">
        <v>#REF!</v>
      </c>
      <c r="BG118" s="84" t="e">
        <v>#REF!</v>
      </c>
      <c r="BH118" s="84" t="e">
        <v>#REF!</v>
      </c>
      <c r="BI118" s="81"/>
      <c r="BJ118" s="81"/>
      <c r="BK118" s="81"/>
      <c r="BL118" s="81"/>
      <c r="BM118" s="86"/>
      <c r="BN118" s="86"/>
      <c r="BO118" s="81"/>
      <c r="BP118" s="81"/>
      <c r="BQ118" s="84">
        <v>-0.044304539415544575</v>
      </c>
      <c r="BR118" s="84">
        <v>0.08088661033412214</v>
      </c>
      <c r="BS118" s="94">
        <v>0.05191234278579904</v>
      </c>
    </row>
    <row r="119" spans="2:71" ht="15">
      <c r="B119" s="78" t="s">
        <v>116</v>
      </c>
      <c r="C119" s="79">
        <v>13.5</v>
      </c>
      <c r="D119" s="80">
        <v>3</v>
      </c>
      <c r="E119" s="79">
        <v>0</v>
      </c>
      <c r="F119" s="80">
        <v>0</v>
      </c>
      <c r="G119" s="79">
        <v>5</v>
      </c>
      <c r="H119" s="79">
        <v>0</v>
      </c>
      <c r="I119" s="79">
        <v>0</v>
      </c>
      <c r="J119" s="79">
        <v>0</v>
      </c>
      <c r="K119" s="81"/>
      <c r="L119" s="82">
        <v>993.6666666666667</v>
      </c>
      <c r="M119" s="82"/>
      <c r="N119" s="82"/>
      <c r="O119" s="83">
        <v>13.75</v>
      </c>
      <c r="P119" s="84">
        <v>0.12428067849718302</v>
      </c>
      <c r="Q119" s="85">
        <v>15540.71816952862</v>
      </c>
      <c r="R119" s="85">
        <v>72683.69060890003</v>
      </c>
      <c r="S119" s="85"/>
      <c r="T119" s="85">
        <v>652712.017227907</v>
      </c>
      <c r="U119" s="85">
        <v>68429.75023617182</v>
      </c>
      <c r="V119" s="85">
        <v>201597.58190490218</v>
      </c>
      <c r="W119" s="85">
        <v>-44411.73013606322</v>
      </c>
      <c r="X119" s="85">
        <v>95918.91394877095</v>
      </c>
      <c r="Y119" s="85">
        <v>-150324</v>
      </c>
      <c r="Z119" s="85">
        <v>120841.02489866823</v>
      </c>
      <c r="AA119" s="85"/>
      <c r="AB119" s="85">
        <v>516493.98342939286</v>
      </c>
      <c r="AC119" s="85">
        <v>343221.5881296307</v>
      </c>
      <c r="AD119" s="85">
        <v>859715.5715590236</v>
      </c>
      <c r="AE119" s="85"/>
      <c r="AF119" s="85">
        <v>791843.9867469618</v>
      </c>
      <c r="AG119" s="85">
        <v>795952.89244335</v>
      </c>
      <c r="AH119" s="85">
        <v>794305.9775317102</v>
      </c>
      <c r="AI119" s="85">
        <v>859715.5715590236</v>
      </c>
      <c r="AJ119" s="85">
        <v>859715.5715590236</v>
      </c>
      <c r="AK119" s="85"/>
      <c r="AL119" s="85"/>
      <c r="AM119" s="85"/>
      <c r="AN119" s="85">
        <v>607073.968190003</v>
      </c>
      <c r="AO119" s="85"/>
      <c r="AP119" s="85">
        <v>-212736.74703465527</v>
      </c>
      <c r="AQ119" s="85">
        <v>-194707.08902129106</v>
      </c>
      <c r="AR119" s="85">
        <v>-197493.62311964633</v>
      </c>
      <c r="AS119" s="85">
        <v>-156745.0743352607</v>
      </c>
      <c r="AT119" s="85">
        <v>-139590.83839855317</v>
      </c>
      <c r="AU119" s="85"/>
      <c r="AV119" s="85">
        <v>585070.1957894877</v>
      </c>
      <c r="AW119" s="85"/>
      <c r="AX119" s="85">
        <v>633274.9045700087</v>
      </c>
      <c r="AY119" s="85"/>
      <c r="AZ119" s="85">
        <v>663741.2780908775</v>
      </c>
      <c r="BA119" s="85">
        <v>703595.4571316113</v>
      </c>
      <c r="BB119" s="85">
        <v>720749.6930683188</v>
      </c>
      <c r="BC119" s="85"/>
      <c r="BD119" s="84" t="e">
        <v>#REF!</v>
      </c>
      <c r="BE119" s="84" t="e">
        <v>#REF!</v>
      </c>
      <c r="BF119" s="84" t="e">
        <v>#REF!</v>
      </c>
      <c r="BG119" s="84" t="e">
        <v>#REF!</v>
      </c>
      <c r="BH119" s="84" t="e">
        <v>#REF!</v>
      </c>
      <c r="BI119" s="81"/>
      <c r="BJ119" s="81"/>
      <c r="BK119" s="81"/>
      <c r="BL119" s="81"/>
      <c r="BM119" s="86"/>
      <c r="BN119" s="86"/>
      <c r="BO119" s="81"/>
      <c r="BP119" s="81"/>
      <c r="BQ119" s="84">
        <v>-0.0362456200619502</v>
      </c>
      <c r="BR119" s="84">
        <v>0.08239132522461534</v>
      </c>
      <c r="BS119" s="94">
        <v>0.048109238659244324</v>
      </c>
    </row>
    <row r="120" spans="2:71" ht="15">
      <c r="B120" s="78" t="s">
        <v>145</v>
      </c>
      <c r="C120" s="79">
        <v>11.5</v>
      </c>
      <c r="D120" s="80">
        <v>2</v>
      </c>
      <c r="E120" s="79">
        <v>3</v>
      </c>
      <c r="F120" s="80">
        <v>0</v>
      </c>
      <c r="G120" s="79">
        <v>2</v>
      </c>
      <c r="H120" s="79">
        <v>0</v>
      </c>
      <c r="I120" s="79">
        <v>0</v>
      </c>
      <c r="J120" s="79">
        <v>0</v>
      </c>
      <c r="K120" s="81"/>
      <c r="L120" s="82">
        <v>1415.3333333333335</v>
      </c>
      <c r="M120" s="82"/>
      <c r="N120" s="82"/>
      <c r="O120" s="83">
        <v>12.600000000000001</v>
      </c>
      <c r="P120" s="84">
        <v>0.11388629447741862</v>
      </c>
      <c r="Q120" s="85">
        <v>14240.949013531685</v>
      </c>
      <c r="R120" s="85">
        <v>66604.69103070113</v>
      </c>
      <c r="S120" s="85"/>
      <c r="T120" s="85">
        <v>534037.1050046512</v>
      </c>
      <c r="U120" s="85">
        <v>68429.75023617182</v>
      </c>
      <c r="V120" s="85">
        <v>201597.58190490224</v>
      </c>
      <c r="W120" s="85">
        <v>-38699.86992420109</v>
      </c>
      <c r="X120" s="85">
        <v>82534.87944429129</v>
      </c>
      <c r="Y120" s="85">
        <v>-100216</v>
      </c>
      <c r="Z120" s="85">
        <v>102938.65083960627</v>
      </c>
      <c r="AA120" s="85"/>
      <c r="AB120" s="85">
        <v>465733.86877482734</v>
      </c>
      <c r="AC120" s="85">
        <v>488869.1255278135</v>
      </c>
      <c r="AD120" s="85">
        <v>954602.9943026408</v>
      </c>
      <c r="AE120" s="85"/>
      <c r="AF120" s="85">
        <v>893864.1206238961</v>
      </c>
      <c r="AG120" s="85">
        <v>892990.2978796834</v>
      </c>
      <c r="AH120" s="85">
        <v>881086.983911316</v>
      </c>
      <c r="AI120" s="85">
        <v>954602.9943026408</v>
      </c>
      <c r="AJ120" s="85">
        <v>954602.9943026408</v>
      </c>
      <c r="AK120" s="85"/>
      <c r="AL120" s="85"/>
      <c r="AM120" s="85"/>
      <c r="AN120" s="85">
        <v>815847.7341546986</v>
      </c>
      <c r="AO120" s="85"/>
      <c r="AP120" s="85">
        <v>-121320.45528071716</v>
      </c>
      <c r="AQ120" s="85">
        <v>-81806.62329978403</v>
      </c>
      <c r="AR120" s="85">
        <v>-61786.718585030874</v>
      </c>
      <c r="AS120" s="85">
        <v>-324.05936101204134</v>
      </c>
      <c r="AT120" s="85">
        <v>0</v>
      </c>
      <c r="AU120" s="85"/>
      <c r="AV120" s="85">
        <v>774315.7926493334</v>
      </c>
      <c r="AW120" s="85"/>
      <c r="AX120" s="85">
        <v>856033.2024640957</v>
      </c>
      <c r="AY120" s="85"/>
      <c r="AZ120" s="85">
        <v>899156.3255119413</v>
      </c>
      <c r="BA120" s="85">
        <v>956228.899519131</v>
      </c>
      <c r="BB120" s="85">
        <v>956552.958880143</v>
      </c>
      <c r="BC120" s="85"/>
      <c r="BD120" s="84" t="e">
        <v>#REF!</v>
      </c>
      <c r="BE120" s="84" t="e">
        <v>#REF!</v>
      </c>
      <c r="BF120" s="84" t="e">
        <v>#REF!</v>
      </c>
      <c r="BG120" s="84" t="e">
        <v>#REF!</v>
      </c>
      <c r="BH120" s="84" t="e">
        <v>#REF!</v>
      </c>
      <c r="BI120" s="81"/>
      <c r="BJ120" s="81"/>
      <c r="BK120" s="81"/>
      <c r="BL120" s="81"/>
      <c r="BM120" s="86"/>
      <c r="BN120" s="86"/>
      <c r="BO120" s="81"/>
      <c r="BP120" s="81"/>
      <c r="BQ120" s="84">
        <v>-0.050906486304575616</v>
      </c>
      <c r="BR120" s="84">
        <v>0.10553499049162474</v>
      </c>
      <c r="BS120" s="94">
        <v>0.05037552623393049</v>
      </c>
    </row>
    <row r="121" spans="2:71" ht="15">
      <c r="B121" s="78" t="s">
        <v>167</v>
      </c>
      <c r="C121" s="79">
        <v>11.16</v>
      </c>
      <c r="D121" s="80">
        <v>3</v>
      </c>
      <c r="E121" s="79">
        <v>0</v>
      </c>
      <c r="F121" s="80">
        <v>0</v>
      </c>
      <c r="G121" s="79">
        <v>2</v>
      </c>
      <c r="H121" s="79">
        <v>0</v>
      </c>
      <c r="I121" s="79">
        <v>0</v>
      </c>
      <c r="J121" s="79">
        <v>0</v>
      </c>
      <c r="K121" s="81"/>
      <c r="L121" s="82">
        <v>1237.3666666666668</v>
      </c>
      <c r="M121" s="82"/>
      <c r="N121" s="82"/>
      <c r="O121" s="83">
        <v>11.260000000000002</v>
      </c>
      <c r="P121" s="84">
        <v>0.10177457744569314</v>
      </c>
      <c r="Q121" s="85">
        <v>12726.435388283073</v>
      </c>
      <c r="R121" s="85">
        <v>59521.335000451945</v>
      </c>
      <c r="S121" s="85"/>
      <c r="T121" s="85">
        <v>560145.5856937674</v>
      </c>
      <c r="U121" s="85">
        <v>58725.16747540563</v>
      </c>
      <c r="V121" s="85">
        <v>173007.37938020698</v>
      </c>
      <c r="W121" s="85">
        <v>-38113.33931676698</v>
      </c>
      <c r="X121" s="85">
        <v>72095.33253079717</v>
      </c>
      <c r="Y121" s="85">
        <v>-150324</v>
      </c>
      <c r="Z121" s="85">
        <v>99895.24724956574</v>
      </c>
      <c r="AA121" s="85"/>
      <c r="AB121" s="85">
        <v>423839.57170085557</v>
      </c>
      <c r="AC121" s="85">
        <v>427397.80519825633</v>
      </c>
      <c r="AD121" s="85">
        <v>851237.376899112</v>
      </c>
      <c r="AE121" s="85"/>
      <c r="AF121" s="85">
        <v>754206.6514000526</v>
      </c>
      <c r="AG121" s="85">
        <v>761545.049601911</v>
      </c>
      <c r="AH121" s="85">
        <v>772444.9741226968</v>
      </c>
      <c r="AI121" s="85">
        <v>851237.376899112</v>
      </c>
      <c r="AJ121" s="85">
        <v>851237.376899112</v>
      </c>
      <c r="AK121" s="85"/>
      <c r="AL121" s="85"/>
      <c r="AM121" s="85"/>
      <c r="AN121" s="85">
        <v>602967.24964515</v>
      </c>
      <c r="AO121" s="85"/>
      <c r="AP121" s="85">
        <v>-181565.457772145</v>
      </c>
      <c r="AQ121" s="85">
        <v>-162268.57430433456</v>
      </c>
      <c r="AR121" s="85">
        <v>-181851.88302753464</v>
      </c>
      <c r="AS121" s="85">
        <v>-132545.87057377578</v>
      </c>
      <c r="AT121" s="85">
        <v>-112123.19320205385</v>
      </c>
      <c r="AU121" s="85"/>
      <c r="AV121" s="85">
        <v>575552.5973656666</v>
      </c>
      <c r="AW121" s="85"/>
      <c r="AX121" s="85">
        <v>631495.7489354501</v>
      </c>
      <c r="AY121" s="85"/>
      <c r="AZ121" s="85">
        <v>669385.4938715774</v>
      </c>
      <c r="BA121" s="85">
        <v>718691.5063253362</v>
      </c>
      <c r="BB121" s="85">
        <v>739114.1836970581</v>
      </c>
      <c r="BC121" s="85"/>
      <c r="BD121" s="84" t="e">
        <v>#REF!</v>
      </c>
      <c r="BE121" s="84" t="e">
        <v>#REF!</v>
      </c>
      <c r="BF121" s="84" t="e">
        <v>#REF!</v>
      </c>
      <c r="BG121" s="84" t="e">
        <v>#REF!</v>
      </c>
      <c r="BH121" s="84" t="e">
        <v>#REF!</v>
      </c>
      <c r="BI121" s="81"/>
      <c r="BJ121" s="81"/>
      <c r="BK121" s="81"/>
      <c r="BL121" s="81"/>
      <c r="BM121" s="86"/>
      <c r="BN121" s="86"/>
      <c r="BO121" s="81"/>
      <c r="BP121" s="81"/>
      <c r="BQ121" s="84">
        <v>-0.04546623766981883</v>
      </c>
      <c r="BR121" s="84">
        <v>0.0971990254684596</v>
      </c>
      <c r="BS121" s="94">
        <v>0.0600000000000005</v>
      </c>
    </row>
    <row r="122" spans="2:71" ht="15">
      <c r="B122" s="78" t="s">
        <v>182</v>
      </c>
      <c r="C122" s="79">
        <v>11</v>
      </c>
      <c r="D122" s="80">
        <v>0</v>
      </c>
      <c r="E122" s="79">
        <v>2</v>
      </c>
      <c r="F122" s="80">
        <v>1</v>
      </c>
      <c r="G122" s="79">
        <v>4</v>
      </c>
      <c r="H122" s="79">
        <v>0</v>
      </c>
      <c r="I122" s="79">
        <v>0</v>
      </c>
      <c r="J122" s="79">
        <v>0</v>
      </c>
      <c r="K122" s="81"/>
      <c r="L122" s="82">
        <v>1175.1999999999998</v>
      </c>
      <c r="M122" s="82"/>
      <c r="N122" s="82"/>
      <c r="O122" s="83">
        <v>11.866666666666667</v>
      </c>
      <c r="P122" s="84">
        <v>0.10725799162423554</v>
      </c>
      <c r="Q122" s="85">
        <v>13412.110711156824</v>
      </c>
      <c r="R122" s="85">
        <v>62728.22753155978</v>
      </c>
      <c r="S122" s="85"/>
      <c r="T122" s="85">
        <v>435141.34481860464</v>
      </c>
      <c r="U122" s="85">
        <v>53914.34867092325</v>
      </c>
      <c r="V122" s="85">
        <v>158834.45847052903</v>
      </c>
      <c r="W122" s="85">
        <v>-31183.153299293237</v>
      </c>
      <c r="X122" s="85">
        <v>80304.20702687801</v>
      </c>
      <c r="Y122" s="85">
        <v>-3654</v>
      </c>
      <c r="Z122" s="85">
        <v>98463.05732484077</v>
      </c>
      <c r="AA122" s="85"/>
      <c r="AB122" s="85">
        <v>433980.3006275996</v>
      </c>
      <c r="AC122" s="85">
        <v>405924.86786642944</v>
      </c>
      <c r="AD122" s="85">
        <v>839905.168494029</v>
      </c>
      <c r="AE122" s="85"/>
      <c r="AF122" s="85">
        <v>627392.869192827</v>
      </c>
      <c r="AG122" s="85">
        <v>774737.1316948775</v>
      </c>
      <c r="AH122" s="85">
        <v>800661.6893768847</v>
      </c>
      <c r="AI122" s="85">
        <v>839905.168494029</v>
      </c>
      <c r="AJ122" s="85">
        <v>839905.168494029</v>
      </c>
      <c r="AK122" s="85"/>
      <c r="AL122" s="85"/>
      <c r="AM122" s="85"/>
      <c r="AN122" s="85">
        <v>738285.7499334511</v>
      </c>
      <c r="AO122" s="85"/>
      <c r="AP122" s="85">
        <v>-67403.40347139863</v>
      </c>
      <c r="AQ122" s="85">
        <v>-80152.26510576687</v>
      </c>
      <c r="AR122" s="85">
        <v>-62185.892205033924</v>
      </c>
      <c r="AS122" s="85">
        <v>-10025.273341450433</v>
      </c>
      <c r="AT122" s="85">
        <v>0</v>
      </c>
      <c r="AU122" s="85"/>
      <c r="AV122" s="85">
        <v>591959.3052706666</v>
      </c>
      <c r="AW122" s="85"/>
      <c r="AX122" s="85">
        <v>764407.2498003532</v>
      </c>
      <c r="AY122" s="85"/>
      <c r="AZ122" s="85">
        <v>791874.2855883744</v>
      </c>
      <c r="BA122" s="85">
        <v>840796.9922087981</v>
      </c>
      <c r="BB122" s="85">
        <v>850822.2655502486</v>
      </c>
      <c r="BC122" s="85"/>
      <c r="BD122" s="84" t="e">
        <v>#REF!</v>
      </c>
      <c r="BE122" s="84" t="e">
        <v>#REF!</v>
      </c>
      <c r="BF122" s="84" t="e">
        <v>#REF!</v>
      </c>
      <c r="BG122" s="84" t="e">
        <v>#REF!</v>
      </c>
      <c r="BH122" s="84" t="e">
        <v>#REF!</v>
      </c>
      <c r="BI122" s="81"/>
      <c r="BJ122" s="81"/>
      <c r="BK122" s="81"/>
      <c r="BL122" s="81"/>
      <c r="BM122" s="86"/>
      <c r="BN122" s="86"/>
      <c r="BO122" s="81"/>
      <c r="BP122" s="81"/>
      <c r="BQ122" s="84">
        <v>-0.19819757414520633</v>
      </c>
      <c r="BR122" s="84">
        <v>0.2913172290632997</v>
      </c>
      <c r="BS122" s="94">
        <v>0.035932463742586185</v>
      </c>
    </row>
    <row r="123" spans="2:71" ht="15">
      <c r="B123" s="78" t="s">
        <v>197</v>
      </c>
      <c r="C123" s="79">
        <v>8</v>
      </c>
      <c r="D123" s="80">
        <v>3</v>
      </c>
      <c r="E123" s="79">
        <v>2</v>
      </c>
      <c r="F123" s="80">
        <v>0</v>
      </c>
      <c r="G123" s="79">
        <v>2</v>
      </c>
      <c r="H123" s="79">
        <v>0</v>
      </c>
      <c r="I123" s="79">
        <v>0</v>
      </c>
      <c r="J123" s="79">
        <v>0</v>
      </c>
      <c r="K123" s="81"/>
      <c r="L123" s="82">
        <v>1154.0000000000002</v>
      </c>
      <c r="M123" s="82"/>
      <c r="N123" s="82"/>
      <c r="O123" s="83">
        <v>8.766666666666667</v>
      </c>
      <c r="P123" s="84">
        <v>0.07923834774487062</v>
      </c>
      <c r="Q123" s="85">
        <v>9908.385160208552</v>
      </c>
      <c r="R123" s="85">
        <v>46341.35910337141</v>
      </c>
      <c r="S123" s="85"/>
      <c r="T123" s="85">
        <v>435141.3448186047</v>
      </c>
      <c r="U123" s="85">
        <v>53914.34867092325</v>
      </c>
      <c r="V123" s="85">
        <v>158834.45847052903</v>
      </c>
      <c r="W123" s="85">
        <v>-31183.153299293237</v>
      </c>
      <c r="X123" s="85">
        <v>66920.17252239835</v>
      </c>
      <c r="Y123" s="85">
        <v>-150324</v>
      </c>
      <c r="Z123" s="85">
        <v>71609.49623624784</v>
      </c>
      <c r="AA123" s="85"/>
      <c r="AB123" s="85">
        <v>330581.2058414949</v>
      </c>
      <c r="AC123" s="85">
        <v>398602.19325890025</v>
      </c>
      <c r="AD123" s="85">
        <v>729183.3991003953</v>
      </c>
      <c r="AE123" s="85"/>
      <c r="AF123" s="85">
        <v>446509.68132914975</v>
      </c>
      <c r="AG123" s="85">
        <v>458196.8331940864</v>
      </c>
      <c r="AH123" s="85">
        <v>466094.80433824577</v>
      </c>
      <c r="AI123" s="85">
        <v>729183.3991003953</v>
      </c>
      <c r="AJ123" s="85">
        <v>525528.9613123809</v>
      </c>
      <c r="AK123" s="85"/>
      <c r="AL123" s="85"/>
      <c r="AM123" s="85"/>
      <c r="AN123" s="85">
        <v>412914.90305742994</v>
      </c>
      <c r="AO123" s="85"/>
      <c r="AP123" s="85">
        <v>-52471.86193213649</v>
      </c>
      <c r="AQ123" s="85">
        <v>-43502.43712230867</v>
      </c>
      <c r="AR123" s="85">
        <v>-120534.50349214303</v>
      </c>
      <c r="AS123" s="85">
        <v>-29066.018246650947</v>
      </c>
      <c r="AT123" s="85">
        <v>-8530.680192825064</v>
      </c>
      <c r="AU123" s="85"/>
      <c r="AV123" s="85">
        <v>394037.8193970133</v>
      </c>
      <c r="AW123" s="85"/>
      <c r="AX123" s="85">
        <v>608553.7091722896</v>
      </c>
      <c r="AY123" s="85"/>
      <c r="AZ123" s="85">
        <v>611401.1211958439</v>
      </c>
      <c r="BA123" s="85">
        <v>496462.94306572987</v>
      </c>
      <c r="BB123" s="85">
        <v>516998.2811195558</v>
      </c>
      <c r="BC123" s="85"/>
      <c r="BD123" s="84" t="e">
        <v>#REF!</v>
      </c>
      <c r="BE123" s="84" t="e">
        <v>#REF!</v>
      </c>
      <c r="BF123" s="84" t="e">
        <v>#REF!</v>
      </c>
      <c r="BG123" s="84" t="e">
        <v>#REF!</v>
      </c>
      <c r="BH123" s="84" t="e">
        <v>#REF!</v>
      </c>
      <c r="BI123" s="81"/>
      <c r="BJ123" s="81"/>
      <c r="BK123" s="81"/>
      <c r="BL123" s="81"/>
      <c r="BM123" s="86"/>
      <c r="BN123" s="86"/>
      <c r="BO123" s="81"/>
      <c r="BP123" s="81"/>
      <c r="BQ123" s="84">
        <v>-0.04571664408487375</v>
      </c>
      <c r="BR123" s="84">
        <v>0.544404316579421</v>
      </c>
      <c r="BS123" s="94">
        <v>0.00467898228313679</v>
      </c>
    </row>
    <row r="124" spans="2:71" ht="15">
      <c r="B124" s="78" t="s">
        <v>216</v>
      </c>
      <c r="C124" s="79">
        <v>10</v>
      </c>
      <c r="D124" s="80">
        <v>1</v>
      </c>
      <c r="E124" s="79">
        <v>2</v>
      </c>
      <c r="F124" s="80">
        <v>2</v>
      </c>
      <c r="G124" s="79">
        <v>6</v>
      </c>
      <c r="H124" s="79">
        <v>0</v>
      </c>
      <c r="I124" s="79">
        <v>0</v>
      </c>
      <c r="J124" s="79">
        <v>0</v>
      </c>
      <c r="K124" s="81"/>
      <c r="L124" s="82">
        <v>1211.9999999999998</v>
      </c>
      <c r="M124" s="82"/>
      <c r="N124" s="82"/>
      <c r="O124" s="83">
        <v>10.966666666666667</v>
      </c>
      <c r="P124" s="84">
        <v>0.09912325630441991</v>
      </c>
      <c r="Q124" s="85">
        <v>12394.900067333132</v>
      </c>
      <c r="R124" s="85">
        <v>57970.74960079542</v>
      </c>
      <c r="S124" s="85"/>
      <c r="T124" s="85">
        <v>435141.3448186047</v>
      </c>
      <c r="U124" s="85">
        <v>53914.34867092325</v>
      </c>
      <c r="V124" s="85">
        <v>158834.458470529</v>
      </c>
      <c r="W124" s="85">
        <v>-31183.153299293244</v>
      </c>
      <c r="X124" s="85">
        <v>93688.2415313577</v>
      </c>
      <c r="Y124" s="85">
        <v>-57416</v>
      </c>
      <c r="Z124" s="85">
        <v>89511.8702953098</v>
      </c>
      <c r="AA124" s="85"/>
      <c r="AB124" s="85">
        <v>406428.3800777799</v>
      </c>
      <c r="AC124" s="85">
        <v>418635.92567572533</v>
      </c>
      <c r="AD124" s="85">
        <v>825064.3057535053</v>
      </c>
      <c r="AE124" s="85"/>
      <c r="AF124" s="85">
        <v>747352.2440927634</v>
      </c>
      <c r="AG124" s="85">
        <v>790460.1745696197</v>
      </c>
      <c r="AH124" s="85">
        <v>777118.5874991638</v>
      </c>
      <c r="AI124" s="85">
        <v>825064.3057535053</v>
      </c>
      <c r="AJ124" s="85">
        <v>825064.3057535053</v>
      </c>
      <c r="AK124" s="85"/>
      <c r="AL124" s="85"/>
      <c r="AM124" s="85"/>
      <c r="AN124" s="85">
        <v>723738.529747448</v>
      </c>
      <c r="AO124" s="85"/>
      <c r="AP124" s="85">
        <v>-88552.12769401522</v>
      </c>
      <c r="AQ124" s="85">
        <v>-71229.50493737344</v>
      </c>
      <c r="AR124" s="85">
        <v>-48413.80964378603</v>
      </c>
      <c r="AS124" s="85">
        <v>-23652.638986813115</v>
      </c>
      <c r="AT124" s="85">
        <v>-13799.635606997923</v>
      </c>
      <c r="AU124" s="85"/>
      <c r="AV124" s="85">
        <v>667404.4249995</v>
      </c>
      <c r="AW124" s="85"/>
      <c r="AX124" s="85">
        <v>755027.5892423439</v>
      </c>
      <c r="AY124" s="85"/>
      <c r="AZ124" s="85">
        <v>786704.2102487347</v>
      </c>
      <c r="BA124" s="85">
        <v>807940.1837920712</v>
      </c>
      <c r="BB124" s="85">
        <v>817793.1871718862</v>
      </c>
      <c r="BC124" s="85"/>
      <c r="BD124" s="84" t="e">
        <v>#REF!</v>
      </c>
      <c r="BE124" s="84" t="e">
        <v>#REF!</v>
      </c>
      <c r="BF124" s="84" t="e">
        <v>#REF!</v>
      </c>
      <c r="BG124" s="84" t="e">
        <v>#REF!</v>
      </c>
      <c r="BH124" s="84" t="e">
        <v>#REF!</v>
      </c>
      <c r="BI124" s="81"/>
      <c r="BJ124" s="81"/>
      <c r="BK124" s="81"/>
      <c r="BL124" s="81"/>
      <c r="BM124" s="86"/>
      <c r="BN124" s="86"/>
      <c r="BO124" s="81"/>
      <c r="BP124" s="81"/>
      <c r="BQ124" s="84">
        <v>-0.0778376477587922</v>
      </c>
      <c r="BR124" s="84">
        <v>0.13128945652841528</v>
      </c>
      <c r="BS124" s="94">
        <v>0.041954256318206484</v>
      </c>
    </row>
    <row r="125" spans="2:71" ht="15">
      <c r="B125" s="78" t="s">
        <v>247</v>
      </c>
      <c r="C125" s="79">
        <v>0</v>
      </c>
      <c r="D125" s="80">
        <v>0</v>
      </c>
      <c r="E125" s="79">
        <v>0</v>
      </c>
      <c r="F125" s="80">
        <v>0</v>
      </c>
      <c r="G125" s="79">
        <v>0</v>
      </c>
      <c r="H125" s="79">
        <v>0</v>
      </c>
      <c r="I125" s="79">
        <v>0</v>
      </c>
      <c r="J125" s="79">
        <v>0</v>
      </c>
      <c r="K125" s="81"/>
      <c r="L125" s="82">
        <v>0</v>
      </c>
      <c r="M125" s="82"/>
      <c r="N125" s="82"/>
      <c r="O125" s="83">
        <v>0</v>
      </c>
      <c r="P125" s="84">
        <v>0</v>
      </c>
      <c r="Q125" s="85">
        <v>0</v>
      </c>
      <c r="R125" s="85">
        <v>0</v>
      </c>
      <c r="S125" s="85"/>
      <c r="T125" s="85">
        <v>0</v>
      </c>
      <c r="U125" s="85">
        <v>0</v>
      </c>
      <c r="V125" s="85">
        <v>0</v>
      </c>
      <c r="W125" s="85">
        <v>0</v>
      </c>
      <c r="X125" s="85">
        <v>0</v>
      </c>
      <c r="Y125" s="85">
        <v>0</v>
      </c>
      <c r="Z125" s="85">
        <v>0</v>
      </c>
      <c r="AA125" s="85"/>
      <c r="AB125" s="85">
        <v>0</v>
      </c>
      <c r="AC125" s="85">
        <v>0</v>
      </c>
      <c r="AD125" s="85">
        <v>0</v>
      </c>
      <c r="AE125" s="85"/>
      <c r="AF125" s="85">
        <v>0</v>
      </c>
      <c r="AG125" s="85">
        <v>0</v>
      </c>
      <c r="AH125" s="85">
        <v>0</v>
      </c>
      <c r="AI125" s="85">
        <v>0</v>
      </c>
      <c r="AJ125" s="85">
        <v>0</v>
      </c>
      <c r="AK125" s="85"/>
      <c r="AL125" s="85"/>
      <c r="AM125" s="85"/>
      <c r="AN125" s="85">
        <v>0</v>
      </c>
      <c r="AO125" s="85"/>
      <c r="AP125" s="85">
        <v>0</v>
      </c>
      <c r="AQ125" s="85">
        <v>0</v>
      </c>
      <c r="AR125" s="85">
        <v>0</v>
      </c>
      <c r="AS125" s="85">
        <v>0</v>
      </c>
      <c r="AT125" s="85">
        <v>0</v>
      </c>
      <c r="AU125" s="85"/>
      <c r="AV125" s="85">
        <v>277043.02706592344</v>
      </c>
      <c r="AW125" s="85"/>
      <c r="AX125" s="85">
        <v>-356839.40852021426</v>
      </c>
      <c r="AY125" s="85"/>
      <c r="AZ125" s="85">
        <v>-506552.60408429895</v>
      </c>
      <c r="BA125" s="85">
        <v>-666946.8727685381</v>
      </c>
      <c r="BB125" s="85">
        <v>-647813.7610742627</v>
      </c>
      <c r="BC125" s="85"/>
      <c r="BD125" s="84" t="e">
        <v>#REF!</v>
      </c>
      <c r="BE125" s="84" t="e">
        <v>#REF!</v>
      </c>
      <c r="BF125" s="84" t="e">
        <v>#REF!</v>
      </c>
      <c r="BG125" s="84" t="e">
        <v>#REF!</v>
      </c>
      <c r="BH125" s="81"/>
      <c r="BI125" s="81"/>
      <c r="BJ125" s="81"/>
      <c r="BK125" s="81"/>
      <c r="BL125" s="81"/>
      <c r="BM125" s="86"/>
      <c r="BN125" s="86"/>
      <c r="BO125" s="81"/>
      <c r="BP125" s="81"/>
      <c r="BQ125" s="81"/>
      <c r="BR125" s="81"/>
      <c r="BS125" s="95"/>
    </row>
    <row r="126" spans="2:71" ht="15">
      <c r="B126" s="78"/>
      <c r="C126" s="79">
        <v>103.62</v>
      </c>
      <c r="D126" s="80">
        <v>18.5</v>
      </c>
      <c r="E126" s="79">
        <v>17</v>
      </c>
      <c r="F126" s="80">
        <v>8</v>
      </c>
      <c r="G126" s="79">
        <v>27</v>
      </c>
      <c r="H126" s="79">
        <v>0</v>
      </c>
      <c r="I126" s="79">
        <v>0</v>
      </c>
      <c r="J126" s="79">
        <v>0</v>
      </c>
      <c r="K126" s="81"/>
      <c r="L126" s="82">
        <v>11828.8</v>
      </c>
      <c r="M126" s="82"/>
      <c r="N126" s="82"/>
      <c r="O126" s="83">
        <v>110.63666666666667</v>
      </c>
      <c r="P126" s="84">
        <v>1.0000000000000004</v>
      </c>
      <c r="Q126" s="85">
        <v>125045.32770056352</v>
      </c>
      <c r="R126" s="85">
        <v>584835.0000000002</v>
      </c>
      <c r="S126" s="85"/>
      <c r="T126" s="85">
        <v>4830860.093568001</v>
      </c>
      <c r="U126" s="85">
        <v>576966.4759306802</v>
      </c>
      <c r="V126" s="85">
        <v>1699773.0663399994</v>
      </c>
      <c r="W126" s="85">
        <v>-342090.96768000035</v>
      </c>
      <c r="X126" s="85">
        <v>776809.36264</v>
      </c>
      <c r="Y126" s="85">
        <v>-927522</v>
      </c>
      <c r="Z126" s="85">
        <v>927522.0000000002</v>
      </c>
      <c r="AA126" s="85"/>
      <c r="AB126" s="85">
        <v>4085776.103657607</v>
      </c>
      <c r="AC126" s="85">
        <v>4085776.103657608</v>
      </c>
      <c r="AD126" s="85">
        <v>8225771.207315214</v>
      </c>
      <c r="AE126" s="85"/>
      <c r="AF126" s="85">
        <v>7088509.236011793</v>
      </c>
      <c r="AG126" s="85">
        <v>7386488.379010589</v>
      </c>
      <c r="AH126" s="85">
        <v>7340950.023756248</v>
      </c>
      <c r="AI126" s="85">
        <v>8225771.207315214</v>
      </c>
      <c r="AJ126" s="85">
        <v>7967897.769527201</v>
      </c>
      <c r="AK126" s="85"/>
      <c r="AL126" s="85"/>
      <c r="AM126" s="85"/>
      <c r="AN126" s="85">
        <v>6514631.262840072</v>
      </c>
      <c r="AO126" s="85"/>
      <c r="AP126" s="85">
        <v>-1081691.20293292</v>
      </c>
      <c r="AQ126" s="85">
        <v>-949663.9282634789</v>
      </c>
      <c r="AR126" s="85">
        <v>-966736.5400081623</v>
      </c>
      <c r="AS126" s="85">
        <v>-524856.8473862299</v>
      </c>
      <c r="AT126" s="85">
        <v>-407904.9505805013</v>
      </c>
      <c r="AU126" s="85"/>
      <c r="AV126" s="85">
        <v>6350000</v>
      </c>
      <c r="AW126" s="85"/>
      <c r="AX126" s="85">
        <v>6670833.75</v>
      </c>
      <c r="AY126" s="85"/>
      <c r="AZ126" s="85">
        <v>6804250.425000002</v>
      </c>
      <c r="BA126" s="85">
        <v>6804250.424999995</v>
      </c>
      <c r="BB126" s="85">
        <v>6940335.433499998</v>
      </c>
      <c r="BC126" s="85"/>
      <c r="BD126" s="84" t="e">
        <v>#REF!</v>
      </c>
      <c r="BE126" s="84" t="e">
        <v>#REF!</v>
      </c>
      <c r="BF126" s="84" t="e">
        <v>#REF!</v>
      </c>
      <c r="BG126" s="84" t="e">
        <v>#REF!</v>
      </c>
      <c r="BH126" s="81"/>
      <c r="BI126" s="81"/>
      <c r="BJ126" s="81"/>
      <c r="BK126" s="81"/>
      <c r="BL126" s="81"/>
      <c r="BM126" s="86"/>
      <c r="BN126" s="86"/>
      <c r="BO126" s="81"/>
      <c r="BP126" s="81"/>
      <c r="BQ126" s="81"/>
      <c r="BR126" s="81"/>
      <c r="BS126" s="95"/>
    </row>
    <row r="127" spans="2:71" ht="15">
      <c r="B127" s="78"/>
      <c r="C127" s="87">
        <v>0</v>
      </c>
      <c r="D127" s="88">
        <v>0</v>
      </c>
      <c r="E127" s="87">
        <v>0</v>
      </c>
      <c r="F127" s="88">
        <v>0</v>
      </c>
      <c r="G127" s="87">
        <v>0</v>
      </c>
      <c r="H127" s="87">
        <v>0</v>
      </c>
      <c r="I127" s="87">
        <v>0</v>
      </c>
      <c r="J127" s="87">
        <v>0</v>
      </c>
      <c r="K127" s="81"/>
      <c r="L127" s="85">
        <v>0</v>
      </c>
      <c r="M127" s="81"/>
      <c r="N127" s="81"/>
      <c r="O127" s="83">
        <v>0</v>
      </c>
      <c r="P127" s="85">
        <v>0</v>
      </c>
      <c r="Q127" s="85">
        <v>0</v>
      </c>
      <c r="R127" s="85">
        <v>0</v>
      </c>
      <c r="S127" s="81"/>
      <c r="T127" s="85">
        <v>0</v>
      </c>
      <c r="U127" s="85">
        <v>0</v>
      </c>
      <c r="V127" s="85">
        <v>0</v>
      </c>
      <c r="W127" s="85">
        <v>0</v>
      </c>
      <c r="X127" s="85">
        <v>0</v>
      </c>
      <c r="Y127" s="85">
        <v>0</v>
      </c>
      <c r="Z127" s="85">
        <v>0</v>
      </c>
      <c r="AA127" s="81"/>
      <c r="AB127" s="85">
        <v>0</v>
      </c>
      <c r="AC127" s="85">
        <v>0</v>
      </c>
      <c r="AD127" s="85">
        <v>0</v>
      </c>
      <c r="AE127" s="81"/>
      <c r="AF127" s="85">
        <v>-2.7939677238464355E-09</v>
      </c>
      <c r="AG127" s="85">
        <v>-3.725290298461914E-09</v>
      </c>
      <c r="AH127" s="85">
        <v>1.862645149230957E-09</v>
      </c>
      <c r="AI127" s="85">
        <v>9.313225746154785E-10</v>
      </c>
      <c r="AJ127" s="85">
        <v>1.862645149230957E-09</v>
      </c>
      <c r="AK127" s="81"/>
      <c r="AL127" s="81"/>
      <c r="AM127" s="81"/>
      <c r="AN127" s="85">
        <v>0</v>
      </c>
      <c r="AO127" s="85"/>
      <c r="AP127" s="85">
        <v>-2.3283064365386963E-10</v>
      </c>
      <c r="AQ127" s="85">
        <v>0</v>
      </c>
      <c r="AR127" s="85">
        <v>0</v>
      </c>
      <c r="AS127" s="85">
        <v>1.1641532182693481E-10</v>
      </c>
      <c r="AT127" s="85">
        <v>-5.820766091346741E-11</v>
      </c>
      <c r="AU127" s="85"/>
      <c r="AV127" s="85">
        <v>0</v>
      </c>
      <c r="AW127" s="85"/>
      <c r="AX127" s="85">
        <v>-9.313225746154785E-10</v>
      </c>
      <c r="AY127" s="85"/>
      <c r="AZ127" s="85">
        <v>-2.7939677238464355E-09</v>
      </c>
      <c r="BA127" s="85">
        <v>3.725290298461914E-09</v>
      </c>
      <c r="BB127" s="85">
        <v>9.313225746154785E-10</v>
      </c>
      <c r="BC127" s="85"/>
      <c r="BD127" s="81"/>
      <c r="BE127" s="81"/>
      <c r="BF127" s="81"/>
      <c r="BG127" s="81"/>
      <c r="BH127" s="81"/>
      <c r="BI127" s="81"/>
      <c r="BJ127" s="81"/>
      <c r="BK127" s="81"/>
      <c r="BL127" s="81"/>
      <c r="BM127" s="86"/>
      <c r="BN127" s="86"/>
      <c r="BO127" s="81"/>
      <c r="BP127" s="81"/>
      <c r="BQ127" s="81"/>
      <c r="BR127" s="81"/>
      <c r="BS127" s="95"/>
    </row>
    <row r="128" spans="2:71" ht="15">
      <c r="B128" s="78" t="s">
        <v>248</v>
      </c>
      <c r="C128" s="79"/>
      <c r="D128" s="89"/>
      <c r="E128" s="90"/>
      <c r="F128" s="89"/>
      <c r="G128" s="90"/>
      <c r="H128" s="90"/>
      <c r="I128" s="90"/>
      <c r="J128" s="90"/>
      <c r="K128" s="81"/>
      <c r="L128" s="86"/>
      <c r="M128" s="81"/>
      <c r="N128" s="81"/>
      <c r="O128" s="83"/>
      <c r="P128" s="84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6"/>
      <c r="BN128" s="86"/>
      <c r="BO128" s="81"/>
      <c r="BP128" s="81"/>
      <c r="BQ128" s="81"/>
      <c r="BR128" s="81"/>
      <c r="BS128" s="95"/>
    </row>
    <row r="129" spans="2:71" ht="15">
      <c r="B129" s="78" t="s">
        <v>249</v>
      </c>
      <c r="C129" s="79">
        <v>53.82</v>
      </c>
      <c r="D129" s="80">
        <v>9</v>
      </c>
      <c r="E129" s="79">
        <v>7</v>
      </c>
      <c r="F129" s="80">
        <v>5</v>
      </c>
      <c r="G129" s="79">
        <v>17</v>
      </c>
      <c r="H129" s="79">
        <v>0</v>
      </c>
      <c r="I129" s="79">
        <v>0</v>
      </c>
      <c r="J129" s="79">
        <v>0</v>
      </c>
      <c r="K129" s="81"/>
      <c r="L129" s="82">
        <v>5470.766666666666</v>
      </c>
      <c r="M129" s="82"/>
      <c r="N129" s="82"/>
      <c r="O129" s="83">
        <v>57.00333333333334</v>
      </c>
      <c r="P129" s="84">
        <v>0.515230032237655</v>
      </c>
      <c r="Q129" s="85">
        <v>64427.10822232945</v>
      </c>
      <c r="R129" s="85">
        <v>301324.5559037089</v>
      </c>
      <c r="S129" s="85"/>
      <c r="T129" s="85">
        <v>2485052.6619549766</v>
      </c>
      <c r="U129" s="85">
        <v>289561.5249387586</v>
      </c>
      <c r="V129" s="85">
        <v>853063.2223394106</v>
      </c>
      <c r="W129" s="85">
        <v>-174601.2351480753</v>
      </c>
      <c r="X129" s="85">
        <v>409640.6827337744</v>
      </c>
      <c r="Y129" s="85">
        <v>-469242</v>
      </c>
      <c r="Z129" s="85">
        <v>481752.8859293574</v>
      </c>
      <c r="AA129" s="85"/>
      <c r="AB129" s="85">
        <v>2120489.70343712</v>
      </c>
      <c r="AC129" s="85">
        <v>1889653.0261187314</v>
      </c>
      <c r="AD129" s="85">
        <v>4010142.7295558522</v>
      </c>
      <c r="AE129" s="85"/>
      <c r="AF129" s="85">
        <v>3526317.3214137703</v>
      </c>
      <c r="AG129" s="85">
        <v>3747157.6219428563</v>
      </c>
      <c r="AH129" s="85">
        <v>3738401.9894651063</v>
      </c>
      <c r="AI129" s="85">
        <v>4010142.7295558522</v>
      </c>
      <c r="AJ129" s="85">
        <v>4010142.7295558522</v>
      </c>
      <c r="AK129" s="85"/>
      <c r="AL129" s="85"/>
      <c r="AM129" s="85"/>
      <c r="AN129" s="85">
        <v>3146342.510183148</v>
      </c>
      <c r="AO129" s="85"/>
      <c r="AP129" s="85">
        <v>-705219.4433405921</v>
      </c>
      <c r="AQ129" s="85">
        <v>-673471.9871508938</v>
      </c>
      <c r="AR129" s="85">
        <v>-617126.1375515789</v>
      </c>
      <c r="AS129" s="85">
        <v>-412333.2829749359</v>
      </c>
      <c r="AT129" s="85">
        <v>-343337.02766163513</v>
      </c>
      <c r="AU129" s="85"/>
      <c r="AV129" s="85">
        <v>2873250.9114908213</v>
      </c>
      <c r="AW129" s="85"/>
      <c r="AX129" s="85">
        <v>3274132.9005494444</v>
      </c>
      <c r="AY129" s="85"/>
      <c r="AZ129" s="85">
        <v>3427065.9553451734</v>
      </c>
      <c r="BA129" s="85">
        <v>3621668.5574880354</v>
      </c>
      <c r="BB129" s="85">
        <v>3690664.8128013355</v>
      </c>
      <c r="BC129" s="85"/>
      <c r="BD129" s="84" t="e">
        <v>#REF!</v>
      </c>
      <c r="BE129" s="84" t="e">
        <v>#REF!</v>
      </c>
      <c r="BF129" s="84" t="e">
        <v>#REF!</v>
      </c>
      <c r="BG129" s="84" t="e">
        <v>#REF!</v>
      </c>
      <c r="BH129" s="81"/>
      <c r="BI129" s="81"/>
      <c r="BJ129" s="81"/>
      <c r="BK129" s="81"/>
      <c r="BL129" s="81"/>
      <c r="BM129" s="86"/>
      <c r="BN129" s="86"/>
      <c r="BO129" s="81"/>
      <c r="BP129" s="81"/>
      <c r="BQ129" s="81"/>
      <c r="BR129" s="81"/>
      <c r="BS129" s="95"/>
    </row>
    <row r="130" spans="2:71" ht="15">
      <c r="B130" s="78" t="s">
        <v>52</v>
      </c>
      <c r="C130" s="79">
        <v>49.8</v>
      </c>
      <c r="D130" s="80">
        <v>9.5</v>
      </c>
      <c r="E130" s="79">
        <v>10</v>
      </c>
      <c r="F130" s="80">
        <v>3</v>
      </c>
      <c r="G130" s="79">
        <v>10</v>
      </c>
      <c r="H130" s="79">
        <v>0</v>
      </c>
      <c r="I130" s="79">
        <v>0</v>
      </c>
      <c r="J130" s="79">
        <v>0</v>
      </c>
      <c r="K130" s="81"/>
      <c r="L130" s="82">
        <v>6358.033333333333</v>
      </c>
      <c r="M130" s="82"/>
      <c r="N130" s="82"/>
      <c r="O130" s="83">
        <v>53.63333333333333</v>
      </c>
      <c r="P130" s="84">
        <v>0.4847699677623454</v>
      </c>
      <c r="Q130" s="85">
        <v>60618.21947823407</v>
      </c>
      <c r="R130" s="85">
        <v>283510.44409629126</v>
      </c>
      <c r="S130" s="85"/>
      <c r="T130" s="85">
        <v>2345807.431613024</v>
      </c>
      <c r="U130" s="85">
        <v>287404.95099192165</v>
      </c>
      <c r="V130" s="85">
        <v>846709.8440005895</v>
      </c>
      <c r="W130" s="85">
        <v>-167489.73253192508</v>
      </c>
      <c r="X130" s="85">
        <v>367168.6799062256</v>
      </c>
      <c r="Y130" s="85">
        <v>-458280</v>
      </c>
      <c r="Z130" s="85">
        <v>445769.11407064286</v>
      </c>
      <c r="AA130" s="85"/>
      <c r="AB130" s="85">
        <v>1965286.400220487</v>
      </c>
      <c r="AC130" s="85">
        <v>2196123.0775388763</v>
      </c>
      <c r="AD130" s="85">
        <v>4215628.477759362</v>
      </c>
      <c r="AE130" s="85"/>
      <c r="AF130" s="85">
        <v>3562191.9145980217</v>
      </c>
      <c r="AG130" s="85">
        <v>3639330.7570677325</v>
      </c>
      <c r="AH130" s="85">
        <v>3602548.0342911407</v>
      </c>
      <c r="AI130" s="85">
        <v>4215628.477759362</v>
      </c>
      <c r="AJ130" s="85">
        <v>3957755.039971349</v>
      </c>
      <c r="AK130" s="85"/>
      <c r="AL130" s="85"/>
      <c r="AM130" s="85"/>
      <c r="AN130" s="85">
        <v>3368288.752656923</v>
      </c>
      <c r="AO130" s="85"/>
      <c r="AP130" s="85">
        <v>-376471.75959232805</v>
      </c>
      <c r="AQ130" s="85">
        <v>-276191.94111258525</v>
      </c>
      <c r="AR130" s="85">
        <v>-349610.40245658346</v>
      </c>
      <c r="AS130" s="85">
        <v>-112523.56441129398</v>
      </c>
      <c r="AT130" s="85">
        <v>-64567.92291886612</v>
      </c>
      <c r="AU130" s="85"/>
      <c r="AV130" s="85">
        <v>3199706.061443256</v>
      </c>
      <c r="AW130" s="85"/>
      <c r="AX130" s="85">
        <v>3753540.257970771</v>
      </c>
      <c r="AY130" s="85"/>
      <c r="AZ130" s="85">
        <v>3883737.0737391263</v>
      </c>
      <c r="BA130" s="85">
        <v>3849528.7402804983</v>
      </c>
      <c r="BB130" s="85">
        <v>3897484.3817729256</v>
      </c>
      <c r="BC130" s="85"/>
      <c r="BD130" s="84" t="e">
        <v>#REF!</v>
      </c>
      <c r="BE130" s="84" t="e">
        <v>#REF!</v>
      </c>
      <c r="BF130" s="84" t="e">
        <v>#REF!</v>
      </c>
      <c r="BG130" s="84" t="e">
        <v>#REF!</v>
      </c>
      <c r="BH130" s="81"/>
      <c r="BI130" s="81"/>
      <c r="BJ130" s="81"/>
      <c r="BK130" s="81"/>
      <c r="BL130" s="81"/>
      <c r="BM130" s="86"/>
      <c r="BN130" s="86"/>
      <c r="BO130" s="81"/>
      <c r="BP130" s="81"/>
      <c r="BQ130" s="81"/>
      <c r="BR130" s="81"/>
      <c r="BS130" s="95"/>
    </row>
    <row r="131" spans="2:71" ht="15">
      <c r="B131" s="78" t="s">
        <v>247</v>
      </c>
      <c r="C131" s="79"/>
      <c r="D131" s="80"/>
      <c r="E131" s="79"/>
      <c r="F131" s="80"/>
      <c r="G131" s="79"/>
      <c r="H131" s="79"/>
      <c r="I131" s="79"/>
      <c r="J131" s="79"/>
      <c r="K131" s="81"/>
      <c r="L131" s="82"/>
      <c r="M131" s="82"/>
      <c r="N131" s="82"/>
      <c r="O131" s="83"/>
      <c r="P131" s="84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>
        <v>0</v>
      </c>
      <c r="AG131" s="85">
        <v>0</v>
      </c>
      <c r="AH131" s="85">
        <v>0</v>
      </c>
      <c r="AI131" s="85">
        <v>0</v>
      </c>
      <c r="AJ131" s="85">
        <v>0</v>
      </c>
      <c r="AK131" s="85"/>
      <c r="AL131" s="85"/>
      <c r="AM131" s="85"/>
      <c r="AN131" s="85"/>
      <c r="AO131" s="85"/>
      <c r="AP131" s="85">
        <v>0</v>
      </c>
      <c r="AQ131" s="85">
        <v>0</v>
      </c>
      <c r="AR131" s="85">
        <v>0</v>
      </c>
      <c r="AS131" s="85">
        <v>0</v>
      </c>
      <c r="AT131" s="85">
        <v>0</v>
      </c>
      <c r="AU131" s="85"/>
      <c r="AV131" s="85">
        <v>277043.02706592344</v>
      </c>
      <c r="AW131" s="85"/>
      <c r="AX131" s="85">
        <v>-356839.40852021426</v>
      </c>
      <c r="AY131" s="85"/>
      <c r="AZ131" s="85">
        <v>-506552.60408429895</v>
      </c>
      <c r="BA131" s="85">
        <v>-666946.8727685381</v>
      </c>
      <c r="BB131" s="85">
        <v>-647813.7610742627</v>
      </c>
      <c r="BC131" s="85"/>
      <c r="BD131" s="84" t="e">
        <v>#REF!</v>
      </c>
      <c r="BE131" s="84" t="e">
        <v>#REF!</v>
      </c>
      <c r="BF131" s="84" t="e">
        <v>#REF!</v>
      </c>
      <c r="BG131" s="84" t="e">
        <v>#REF!</v>
      </c>
      <c r="BH131" s="81"/>
      <c r="BI131" s="81"/>
      <c r="BJ131" s="81"/>
      <c r="BK131" s="81"/>
      <c r="BL131" s="81"/>
      <c r="BM131" s="86"/>
      <c r="BN131" s="86"/>
      <c r="BO131" s="81"/>
      <c r="BP131" s="81"/>
      <c r="BQ131" s="81"/>
      <c r="BR131" s="81"/>
      <c r="BS131" s="95"/>
    </row>
    <row r="132" spans="2:71" ht="15">
      <c r="B132" s="78"/>
      <c r="C132" s="79">
        <v>103.62</v>
      </c>
      <c r="D132" s="80">
        <v>18.5</v>
      </c>
      <c r="E132" s="79">
        <v>17</v>
      </c>
      <c r="F132" s="80">
        <v>8</v>
      </c>
      <c r="G132" s="79">
        <v>27</v>
      </c>
      <c r="H132" s="79">
        <v>0</v>
      </c>
      <c r="I132" s="79">
        <v>0</v>
      </c>
      <c r="J132" s="79">
        <v>0</v>
      </c>
      <c r="K132" s="81"/>
      <c r="L132" s="82">
        <v>11828.8</v>
      </c>
      <c r="M132" s="82"/>
      <c r="N132" s="82"/>
      <c r="O132" s="83">
        <v>110.63666666666667</v>
      </c>
      <c r="P132" s="84">
        <v>1.0000000000000004</v>
      </c>
      <c r="Q132" s="85">
        <v>125045.32770056352</v>
      </c>
      <c r="R132" s="85">
        <v>584835.0000000002</v>
      </c>
      <c r="S132" s="85"/>
      <c r="T132" s="85">
        <v>4830860.093568001</v>
      </c>
      <c r="U132" s="85">
        <v>576966.4759306803</v>
      </c>
      <c r="V132" s="85">
        <v>1699773.06634</v>
      </c>
      <c r="W132" s="85">
        <v>-342090.96768000035</v>
      </c>
      <c r="X132" s="85">
        <v>776809.36264</v>
      </c>
      <c r="Y132" s="85">
        <v>-927522</v>
      </c>
      <c r="Z132" s="85">
        <v>927522.0000000002</v>
      </c>
      <c r="AA132" s="85"/>
      <c r="AB132" s="85">
        <v>4085776.103657607</v>
      </c>
      <c r="AC132" s="85">
        <v>4085776.103657608</v>
      </c>
      <c r="AD132" s="85">
        <v>8225771.207315214</v>
      </c>
      <c r="AE132" s="85"/>
      <c r="AF132" s="85">
        <v>7088509.236011792</v>
      </c>
      <c r="AG132" s="85">
        <v>7386488.379010589</v>
      </c>
      <c r="AH132" s="85">
        <v>7340950.023756247</v>
      </c>
      <c r="AI132" s="85">
        <v>8225771.207315214</v>
      </c>
      <c r="AJ132" s="85">
        <v>7967897.769527201</v>
      </c>
      <c r="AK132" s="85"/>
      <c r="AL132" s="85"/>
      <c r="AM132" s="85"/>
      <c r="AN132" s="85">
        <v>6514631.262840072</v>
      </c>
      <c r="AO132" s="85"/>
      <c r="AP132" s="85">
        <v>-1081691.20293292</v>
      </c>
      <c r="AQ132" s="85">
        <v>-949663.928263479</v>
      </c>
      <c r="AR132" s="85">
        <v>-966736.5400081624</v>
      </c>
      <c r="AS132" s="85">
        <v>-524856.8473862299</v>
      </c>
      <c r="AT132" s="85">
        <v>-407904.95058050123</v>
      </c>
      <c r="AU132" s="85"/>
      <c r="AV132" s="85">
        <v>6350000.000000001</v>
      </c>
      <c r="AW132" s="85"/>
      <c r="AX132" s="85">
        <v>6670833.750000001</v>
      </c>
      <c r="AY132" s="85"/>
      <c r="AZ132" s="85">
        <v>6804250.425000001</v>
      </c>
      <c r="BA132" s="85">
        <v>6804250.424999995</v>
      </c>
      <c r="BB132" s="85">
        <v>6940335.433499998</v>
      </c>
      <c r="BC132" s="85"/>
      <c r="BD132" s="84" t="e">
        <v>#REF!</v>
      </c>
      <c r="BE132" s="84" t="e">
        <v>#REF!</v>
      </c>
      <c r="BF132" s="84" t="e">
        <v>#REF!</v>
      </c>
      <c r="BG132" s="84" t="e">
        <v>#REF!</v>
      </c>
      <c r="BH132" s="81"/>
      <c r="BI132" s="81"/>
      <c r="BJ132" s="81"/>
      <c r="BK132" s="81"/>
      <c r="BL132" s="81"/>
      <c r="BM132" s="86"/>
      <c r="BN132" s="86"/>
      <c r="BO132" s="81"/>
      <c r="BP132" s="81"/>
      <c r="BQ132" s="81"/>
      <c r="BR132" s="81"/>
      <c r="BS132" s="95"/>
    </row>
    <row r="133" spans="2:71" ht="15">
      <c r="B133" s="78"/>
      <c r="C133" s="79"/>
      <c r="D133" s="89"/>
      <c r="E133" s="90"/>
      <c r="F133" s="89"/>
      <c r="G133" s="90"/>
      <c r="H133" s="90"/>
      <c r="I133" s="90"/>
      <c r="J133" s="90"/>
      <c r="K133" s="81"/>
      <c r="L133" s="86"/>
      <c r="M133" s="81"/>
      <c r="N133" s="81"/>
      <c r="O133" s="83"/>
      <c r="P133" s="84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6"/>
      <c r="BN133" s="86"/>
      <c r="BO133" s="81"/>
      <c r="BP133" s="81"/>
      <c r="BQ133" s="81"/>
      <c r="BR133" s="81"/>
      <c r="BS133" s="95"/>
    </row>
    <row r="134" spans="2:71" ht="15">
      <c r="B134" s="78"/>
      <c r="C134" s="79"/>
      <c r="D134" s="89"/>
      <c r="E134" s="90"/>
      <c r="F134" s="89"/>
      <c r="G134" s="90"/>
      <c r="H134" s="90"/>
      <c r="I134" s="90"/>
      <c r="J134" s="90"/>
      <c r="K134" s="81"/>
      <c r="L134" s="86"/>
      <c r="M134" s="81"/>
      <c r="N134" s="81"/>
      <c r="O134" s="83"/>
      <c r="P134" s="84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6"/>
      <c r="BN134" s="86"/>
      <c r="BO134" s="81"/>
      <c r="BP134" s="81"/>
      <c r="BQ134" s="81"/>
      <c r="BR134" s="81"/>
      <c r="BS134" s="95"/>
    </row>
    <row r="135" spans="2:71" ht="15">
      <c r="B135" s="78"/>
      <c r="C135" s="79"/>
      <c r="D135" s="89"/>
      <c r="E135" s="90"/>
      <c r="F135" s="89"/>
      <c r="G135" s="90"/>
      <c r="H135" s="90"/>
      <c r="I135" s="90"/>
      <c r="J135" s="90"/>
      <c r="K135" s="81"/>
      <c r="L135" s="86"/>
      <c r="M135" s="81"/>
      <c r="N135" s="81"/>
      <c r="O135" s="83"/>
      <c r="P135" s="84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6"/>
      <c r="BN135" s="86"/>
      <c r="BO135" s="81"/>
      <c r="BP135" s="81"/>
      <c r="BQ135" s="81"/>
      <c r="BR135" s="81"/>
      <c r="BS135" s="95"/>
    </row>
    <row r="136" spans="2:71" ht="15">
      <c r="B136" s="78" t="s">
        <v>250</v>
      </c>
      <c r="C136" s="79">
        <v>1.079375</v>
      </c>
      <c r="D136" s="80">
        <v>0.19270833333333334</v>
      </c>
      <c r="E136" s="79">
        <v>0.17708333333333334</v>
      </c>
      <c r="F136" s="80"/>
      <c r="G136" s="79">
        <v>0.28125</v>
      </c>
      <c r="H136" s="79">
        <v>0</v>
      </c>
      <c r="I136" s="79">
        <v>0</v>
      </c>
      <c r="J136" s="79">
        <v>0</v>
      </c>
      <c r="K136" s="81"/>
      <c r="L136" s="82">
        <v>123.21666666666665</v>
      </c>
      <c r="M136" s="82">
        <v>0</v>
      </c>
      <c r="N136" s="82"/>
      <c r="O136" s="83">
        <v>1.1524652777777777</v>
      </c>
      <c r="P136" s="84">
        <v>0.010416666666666671</v>
      </c>
      <c r="Q136" s="85">
        <v>1302.55549688087</v>
      </c>
      <c r="R136" s="85">
        <v>6092.031250000003</v>
      </c>
      <c r="S136" s="85"/>
      <c r="T136" s="85">
        <v>50321.45930800001</v>
      </c>
      <c r="U136" s="85">
        <v>6010.067457611253</v>
      </c>
      <c r="V136" s="85">
        <v>17705.969441041667</v>
      </c>
      <c r="W136" s="85">
        <v>-3563.4475800000037</v>
      </c>
      <c r="X136" s="85">
        <v>8091.764194166666</v>
      </c>
      <c r="Y136" s="85">
        <v>-9661.6875</v>
      </c>
      <c r="Z136" s="85">
        <v>9661.687500000002</v>
      </c>
      <c r="AA136" s="85"/>
      <c r="AB136" s="85">
        <v>42560.167746433406</v>
      </c>
      <c r="AC136" s="85">
        <v>42560.16774643341</v>
      </c>
      <c r="AD136" s="85">
        <v>85685.11674286681</v>
      </c>
      <c r="AE136" s="85"/>
      <c r="AF136" s="85">
        <v>73838.63787512283</v>
      </c>
      <c r="AG136" s="85">
        <v>76942.5872813603</v>
      </c>
      <c r="AH136" s="85">
        <v>76468.22941412758</v>
      </c>
      <c r="AI136" s="85">
        <v>85685.11674286681</v>
      </c>
      <c r="AJ136" s="85">
        <v>82998.93509924167</v>
      </c>
      <c r="AK136" s="85"/>
      <c r="AL136" s="85"/>
      <c r="AM136" s="85"/>
      <c r="AN136" s="85">
        <v>67860.74232125074</v>
      </c>
      <c r="AO136" s="85"/>
      <c r="AP136" s="85">
        <v>-11267.616697217918</v>
      </c>
      <c r="AQ136" s="85">
        <v>-9892.332586077906</v>
      </c>
      <c r="AR136" s="85">
        <v>-10070.17229175169</v>
      </c>
      <c r="AS136" s="85">
        <v>-5467.258826939895</v>
      </c>
      <c r="AT136" s="85">
        <v>-4249.009901880221</v>
      </c>
      <c r="AU136" s="85"/>
      <c r="AV136" s="85">
        <v>66145.83333333334</v>
      </c>
      <c r="AW136" s="85"/>
      <c r="AX136" s="85">
        <v>69487.85156250001</v>
      </c>
      <c r="AY136" s="85"/>
      <c r="AZ136" s="85">
        <v>70877.60859375</v>
      </c>
      <c r="BA136" s="85">
        <v>70877.60859374994</v>
      </c>
      <c r="BB136" s="85">
        <v>72295.16076562498</v>
      </c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6"/>
      <c r="BN136" s="86"/>
      <c r="BO136" s="81"/>
      <c r="BP136" s="81"/>
      <c r="BQ136" s="81"/>
      <c r="BR136" s="81"/>
      <c r="BS136" s="95"/>
    </row>
    <row r="137" spans="2:71" ht="15">
      <c r="B137" s="78"/>
      <c r="C137" s="79"/>
      <c r="D137" s="89"/>
      <c r="E137" s="90"/>
      <c r="F137" s="89"/>
      <c r="G137" s="90"/>
      <c r="H137" s="90"/>
      <c r="I137" s="90"/>
      <c r="J137" s="90"/>
      <c r="K137" s="81"/>
      <c r="L137" s="86"/>
      <c r="M137" s="81"/>
      <c r="N137" s="81"/>
      <c r="O137" s="83"/>
      <c r="P137" s="84"/>
      <c r="Q137" s="81"/>
      <c r="R137" s="81"/>
      <c r="S137" s="81"/>
      <c r="T137" s="81"/>
      <c r="U137" s="81"/>
      <c r="V137" s="81"/>
      <c r="W137" s="81"/>
      <c r="X137" s="81"/>
      <c r="Y137" s="81"/>
      <c r="Z137" s="85">
        <v>78565.81282081958</v>
      </c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6"/>
      <c r="BN137" s="86"/>
      <c r="BO137" s="81"/>
      <c r="BP137" s="81"/>
      <c r="BQ137" s="81"/>
      <c r="BR137" s="81"/>
      <c r="BS137" s="95"/>
    </row>
    <row r="138" spans="2:71" ht="15.75" thickBot="1">
      <c r="B138" s="91"/>
      <c r="C138" s="96"/>
      <c r="D138" s="97"/>
      <c r="E138" s="96"/>
      <c r="F138" s="97"/>
      <c r="G138" s="96"/>
      <c r="H138" s="96"/>
      <c r="I138" s="96"/>
      <c r="J138" s="96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8"/>
    </row>
  </sheetData>
  <sheetProtection sheet="1" objects="1" scenarios="1"/>
  <protectedRanges>
    <protectedRange sqref="Q103:Q105 Q107" name="Range5_1_1"/>
    <protectedRange sqref="T106:Z106 L106 AB106:AD106 AF106:AJ106 AL106:BB106 BD106:BG106 BZ106:CA106 CC106:CD106 BU106:BX106 C106:J106 O106:R106" name="Range5_1_1_1"/>
  </protectedRanges>
  <mergeCells count="6">
    <mergeCell ref="AX1:BB1"/>
    <mergeCell ref="AF1:AI1"/>
    <mergeCell ref="BZ1:CD1"/>
    <mergeCell ref="AD2:AE2"/>
    <mergeCell ref="AC114:AE114"/>
    <mergeCell ref="AB2:AC2"/>
  </mergeCells>
  <printOptions gridLines="1"/>
  <pageMargins left="0.5118110236220472" right="0.3937007874015748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23.140625" style="3" customWidth="1"/>
    <col min="2" max="2" width="12.7109375" style="3" customWidth="1"/>
    <col min="3" max="3" width="1.7109375" style="3" customWidth="1"/>
    <col min="4" max="4" width="9.140625" style="3" customWidth="1"/>
    <col min="5" max="5" width="1.7109375" style="3" customWidth="1"/>
    <col min="6" max="6" width="9.14062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2.8515625" style="3" customWidth="1"/>
    <col min="11" max="11" width="1.7109375" style="3" customWidth="1"/>
    <col min="12" max="12" width="9.140625" style="3" customWidth="1"/>
    <col min="13" max="13" width="1.7109375" style="3" customWidth="1"/>
    <col min="14" max="14" width="9.140625" style="3" customWidth="1"/>
    <col min="15" max="15" width="1.7109375" style="3" customWidth="1"/>
    <col min="16" max="16" width="9.140625" style="3" customWidth="1"/>
    <col min="17" max="17" width="1.7109375" style="3" customWidth="1"/>
    <col min="18" max="18" width="9.140625" style="3" customWidth="1"/>
    <col min="19" max="19" width="1.7109375" style="3" customWidth="1"/>
    <col min="20" max="20" width="13.421875" style="3" customWidth="1"/>
    <col min="21" max="21" width="1.7109375" style="3" customWidth="1"/>
    <col min="22" max="22" width="9.140625" style="3" customWidth="1"/>
    <col min="23" max="23" width="1.7109375" style="3" customWidth="1"/>
    <col min="24" max="24" width="10.140625" style="3" customWidth="1"/>
    <col min="25" max="16384" width="9.140625" style="3" customWidth="1"/>
  </cols>
  <sheetData>
    <row r="1" spans="1:4" ht="15">
      <c r="A1" s="154" t="s">
        <v>308</v>
      </c>
      <c r="D1" s="151"/>
    </row>
    <row r="2" ht="15">
      <c r="D2" s="15"/>
    </row>
    <row r="3" spans="2:24" ht="45" customHeight="1">
      <c r="B3" s="158" t="s">
        <v>274</v>
      </c>
      <c r="D3" s="158" t="s">
        <v>278</v>
      </c>
      <c r="F3" s="155" t="s">
        <v>279</v>
      </c>
      <c r="H3" s="155" t="s">
        <v>171</v>
      </c>
      <c r="J3" s="158" t="s">
        <v>281</v>
      </c>
      <c r="L3" s="158" t="s">
        <v>282</v>
      </c>
      <c r="N3" s="158" t="s">
        <v>284</v>
      </c>
      <c r="P3" s="158" t="s">
        <v>285</v>
      </c>
      <c r="R3" s="158" t="s">
        <v>269</v>
      </c>
      <c r="T3" s="158" t="s">
        <v>289</v>
      </c>
      <c r="V3" s="158" t="s">
        <v>291</v>
      </c>
      <c r="X3" s="158" t="s">
        <v>293</v>
      </c>
    </row>
    <row r="4" spans="1:24" ht="15" customHeight="1">
      <c r="A4" s="3" t="s">
        <v>27</v>
      </c>
      <c r="B4" s="150">
        <v>35000.84866748932</v>
      </c>
      <c r="D4" s="147">
        <v>33946.71353110531</v>
      </c>
      <c r="F4" s="150">
        <v>36172.86048156512</v>
      </c>
      <c r="H4" s="150">
        <v>36172.86048156512</v>
      </c>
      <c r="J4" s="150">
        <v>35000.84866748932</v>
      </c>
      <c r="L4" s="150">
        <v>22404.830930529504</v>
      </c>
      <c r="N4" s="150">
        <v>33946.71353110531</v>
      </c>
      <c r="P4" s="150">
        <v>35000.84866748932</v>
      </c>
      <c r="R4" s="150">
        <v>33946.71353110531</v>
      </c>
      <c r="T4" s="150">
        <v>35000.84866748932</v>
      </c>
      <c r="V4" s="150">
        <v>36172.86048156512</v>
      </c>
      <c r="X4" s="150">
        <v>16973.356765552657</v>
      </c>
    </row>
    <row r="5" spans="1:24" ht="15">
      <c r="A5" s="3" t="s">
        <v>299</v>
      </c>
      <c r="B5" s="150">
        <v>11587.896598641148</v>
      </c>
      <c r="D5" s="147">
        <v>29477.98257549063</v>
      </c>
      <c r="F5" s="150">
        <v>28258.203986159988</v>
      </c>
      <c r="H5" s="150">
        <v>19008.21635040258</v>
      </c>
      <c r="J5" s="150">
        <v>103681.180093105</v>
      </c>
      <c r="L5" s="150">
        <v>22413.431578950636</v>
      </c>
      <c r="N5" s="150">
        <v>24903.812865500713</v>
      </c>
      <c r="P5" s="150">
        <v>32324.13261726214</v>
      </c>
      <c r="R5" s="150">
        <v>38270.55324024905</v>
      </c>
      <c r="T5" s="150">
        <v>24497.220002390495</v>
      </c>
      <c r="V5" s="150">
        <v>28258.203986159988</v>
      </c>
      <c r="X5" s="150">
        <v>19465.633321401576</v>
      </c>
    </row>
    <row r="6" spans="1:24" ht="15">
      <c r="A6" s="154" t="s">
        <v>254</v>
      </c>
      <c r="B6" s="157">
        <v>46588.74526613047</v>
      </c>
      <c r="D6" s="168">
        <v>63424.69610659595</v>
      </c>
      <c r="F6" s="157">
        <v>64431.06446772511</v>
      </c>
      <c r="H6" s="157">
        <v>55181.0768319677</v>
      </c>
      <c r="J6" s="157">
        <v>138682.02876059432</v>
      </c>
      <c r="L6" s="157">
        <v>44818.26250948014</v>
      </c>
      <c r="N6" s="157">
        <v>58850.52639660603</v>
      </c>
      <c r="P6" s="157">
        <v>67324.98128475147</v>
      </c>
      <c r="R6" s="157">
        <v>72217.26677135436</v>
      </c>
      <c r="T6" s="157">
        <v>59498.068669879816</v>
      </c>
      <c r="V6" s="157">
        <v>64431.06446772511</v>
      </c>
      <c r="X6" s="157">
        <v>36438.99008695423</v>
      </c>
    </row>
    <row r="7" spans="1:24" ht="15">
      <c r="A7" s="3" t="s">
        <v>311</v>
      </c>
      <c r="B7" s="150">
        <v>-19518</v>
      </c>
      <c r="D7" s="150">
        <v>-13833.696106595948</v>
      </c>
      <c r="F7" s="150">
        <v>1311.9355322748888</v>
      </c>
      <c r="H7" s="150">
        <v>-2925.076831967701</v>
      </c>
      <c r="J7" s="150">
        <v>-64178.028760594316</v>
      </c>
      <c r="L7" s="150">
        <v>-8792.26250948014</v>
      </c>
      <c r="N7" s="150">
        <v>-12697.52639660603</v>
      </c>
      <c r="P7" s="150">
        <v>-17803.98128475147</v>
      </c>
      <c r="R7" s="150">
        <v>-5891.266771354363</v>
      </c>
      <c r="T7" s="150">
        <v>1113.9313301201837</v>
      </c>
      <c r="V7" s="150">
        <v>-346.0644677251112</v>
      </c>
      <c r="X7" s="150">
        <v>-7864.9900869542325</v>
      </c>
    </row>
    <row r="8" spans="1:24" ht="15">
      <c r="A8" s="154" t="s">
        <v>301</v>
      </c>
      <c r="B8" s="152">
        <v>27071</v>
      </c>
      <c r="D8" s="152">
        <v>49591</v>
      </c>
      <c r="F8" s="152">
        <v>65743</v>
      </c>
      <c r="H8" s="152">
        <v>52256</v>
      </c>
      <c r="J8" s="152">
        <v>74504</v>
      </c>
      <c r="L8" s="152">
        <v>36026</v>
      </c>
      <c r="N8" s="152">
        <v>46153</v>
      </c>
      <c r="P8" s="152">
        <v>49521</v>
      </c>
      <c r="R8" s="152">
        <v>66326</v>
      </c>
      <c r="T8" s="152">
        <v>60612</v>
      </c>
      <c r="V8" s="152">
        <v>64085</v>
      </c>
      <c r="X8" s="152">
        <v>28574</v>
      </c>
    </row>
    <row r="9" spans="1:24" ht="15.75" thickBot="1">
      <c r="A9" s="3" t="s">
        <v>302</v>
      </c>
      <c r="B9" s="150">
        <v>-3071</v>
      </c>
      <c r="D9" s="150">
        <v>-1444</v>
      </c>
      <c r="F9" s="150">
        <v>-1312</v>
      </c>
      <c r="H9" s="150">
        <v>-1911</v>
      </c>
      <c r="J9" s="150">
        <v>-377</v>
      </c>
      <c r="L9" s="150">
        <v>-1788</v>
      </c>
      <c r="N9" s="150">
        <v>-1426</v>
      </c>
      <c r="P9" s="150">
        <v>-1119</v>
      </c>
      <c r="R9" s="150">
        <v>-974</v>
      </c>
      <c r="T9" s="150">
        <v>-1479</v>
      </c>
      <c r="V9" s="150">
        <v>-1300</v>
      </c>
      <c r="X9" s="150">
        <v>-1862</v>
      </c>
    </row>
    <row r="10" spans="1:24" ht="15.75" thickBot="1">
      <c r="A10" s="154" t="s">
        <v>4</v>
      </c>
      <c r="B10" s="153">
        <v>24000</v>
      </c>
      <c r="D10" s="153">
        <v>48147</v>
      </c>
      <c r="F10" s="153">
        <v>64431</v>
      </c>
      <c r="H10" s="153">
        <v>50345</v>
      </c>
      <c r="J10" s="153">
        <v>74127</v>
      </c>
      <c r="L10" s="153">
        <v>34238</v>
      </c>
      <c r="N10" s="153">
        <v>44727</v>
      </c>
      <c r="P10" s="153">
        <v>48402</v>
      </c>
      <c r="R10" s="153">
        <v>65352</v>
      </c>
      <c r="T10" s="153">
        <v>59133</v>
      </c>
      <c r="V10" s="153">
        <v>62785</v>
      </c>
      <c r="X10" s="153">
        <v>26712</v>
      </c>
    </row>
    <row r="11" spans="1:24" ht="15">
      <c r="A11" s="154"/>
      <c r="B11" s="156"/>
      <c r="D11" s="169"/>
      <c r="F11" s="169"/>
      <c r="H11" s="169"/>
      <c r="J11" s="169"/>
      <c r="L11" s="169"/>
      <c r="N11" s="169"/>
      <c r="P11" s="169"/>
      <c r="R11" s="169"/>
      <c r="T11" s="169"/>
      <c r="V11" s="169"/>
      <c r="X11" s="169"/>
    </row>
    <row r="12" spans="1:24" ht="15">
      <c r="A12" s="154" t="s">
        <v>309</v>
      </c>
      <c r="B12" s="169">
        <v>46589</v>
      </c>
      <c r="D12" s="169">
        <v>63425</v>
      </c>
      <c r="F12" s="169">
        <v>64431</v>
      </c>
      <c r="H12" s="169">
        <v>55181</v>
      </c>
      <c r="J12" s="169">
        <v>138682</v>
      </c>
      <c r="L12" s="169">
        <v>44818</v>
      </c>
      <c r="N12" s="169">
        <v>58851</v>
      </c>
      <c r="P12" s="169">
        <v>67325</v>
      </c>
      <c r="R12" s="169">
        <v>72217</v>
      </c>
      <c r="T12" s="169">
        <v>59498</v>
      </c>
      <c r="V12" s="169">
        <v>64431</v>
      </c>
      <c r="X12" s="169">
        <v>36439</v>
      </c>
    </row>
    <row r="13" ht="15">
      <c r="B13" s="169"/>
    </row>
    <row r="14" spans="1:6" s="155" customFormat="1" ht="28.5" customHeight="1">
      <c r="A14" s="161" t="s">
        <v>310</v>
      </c>
      <c r="D14" s="158"/>
      <c r="F14" s="158"/>
    </row>
    <row r="15" spans="1:24" ht="15.75" customHeight="1">
      <c r="A15" s="154" t="str">
        <f>'2019 Summary'!B3</f>
        <v>Abenhall with Mitchledean</v>
      </c>
      <c r="B15" s="137"/>
      <c r="D15" s="137"/>
      <c r="F15" s="137"/>
      <c r="H15" s="137"/>
      <c r="J15" s="137"/>
      <c r="L15" s="137"/>
      <c r="N15" s="137"/>
      <c r="P15" s="137"/>
      <c r="R15" s="137"/>
      <c r="T15" s="137"/>
      <c r="V15" s="137"/>
      <c r="X15" s="137"/>
    </row>
    <row r="16" spans="1:2" ht="15">
      <c r="A16" s="3" t="s">
        <v>27</v>
      </c>
      <c r="B16" s="137">
        <f>HLOOKUP($A$15,$A$3:$X$10,2,FALSE)</f>
        <v>35000.84866748932</v>
      </c>
    </row>
    <row r="17" spans="1:2" ht="15">
      <c r="A17" s="3" t="s">
        <v>299</v>
      </c>
      <c r="B17" s="137">
        <f>HLOOKUP($A$15,$A$3:$X$10,3,FALSE)</f>
        <v>11587.896598641148</v>
      </c>
    </row>
    <row r="18" spans="1:2" ht="15">
      <c r="A18" s="154" t="s">
        <v>254</v>
      </c>
      <c r="B18" s="159">
        <f>HLOOKUP($A$15,$A$3:$X$10,4,FALSE)</f>
        <v>46588.74526613047</v>
      </c>
    </row>
    <row r="19" spans="1:2" ht="15">
      <c r="A19" s="3" t="s">
        <v>300</v>
      </c>
      <c r="B19" s="137">
        <f>HLOOKUP($A$15,$A$3:$X$10,5,FALSE)</f>
        <v>-19518</v>
      </c>
    </row>
    <row r="20" spans="1:2" ht="15">
      <c r="A20" s="154" t="s">
        <v>301</v>
      </c>
      <c r="B20" s="159">
        <f>HLOOKUP($A$15,$A$3:$X$10,6,FALSE)</f>
        <v>27071</v>
      </c>
    </row>
    <row r="21" spans="1:2" ht="15.75" thickBot="1">
      <c r="A21" s="3" t="s">
        <v>302</v>
      </c>
      <c r="B21" s="137">
        <f>HLOOKUP($A$15,$A$3:$X$10,7,FALSE)</f>
        <v>-3071</v>
      </c>
    </row>
    <row r="22" spans="1:2" ht="15.75" thickBot="1">
      <c r="A22" s="154" t="s">
        <v>4</v>
      </c>
      <c r="B22" s="171">
        <f>HLOOKUP($A$15,$A$3:$X$10,8,FALSE)</f>
        <v>24000</v>
      </c>
    </row>
    <row r="24" spans="1:2" ht="15">
      <c r="A24" s="154" t="s">
        <v>309</v>
      </c>
      <c r="B24" s="170">
        <f>HLOOKUP($A$15,$A$3:$X$12,10,FALSE)</f>
        <v>46589</v>
      </c>
    </row>
  </sheetData>
  <sheetProtection sheet="1" objects="1" scenarios="1"/>
  <protectedRanges>
    <protectedRange sqref="D15 F15 H15 J15 L15 N15 P15 R15 T15 V15 X15 B24 B15:B22" name="Range5_1_1_1_2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Parker</dc:creator>
  <cp:keywords/>
  <dc:description/>
  <cp:lastModifiedBy>Hugh James</cp:lastModifiedBy>
  <cp:lastPrinted>2018-09-16T15:49:53Z</cp:lastPrinted>
  <dcterms:created xsi:type="dcterms:W3CDTF">2018-09-10T10:25:15Z</dcterms:created>
  <dcterms:modified xsi:type="dcterms:W3CDTF">2018-09-17T20:32:22Z</dcterms:modified>
  <cp:category/>
  <cp:version/>
  <cp:contentType/>
  <cp:contentStatus/>
</cp:coreProperties>
</file>